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18DB6E64-0CB2-45C1-A2F1-613B15BFBE9F}" xr6:coauthVersionLast="47" xr6:coauthVersionMax="47" xr10:uidLastSave="{00000000-0000-0000-0000-000000000000}"/>
  <bookViews>
    <workbookView xWindow="1560" yWindow="1560" windowWidth="15375" windowHeight="7875"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E125" i="2" l="1"/>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<sst xmlns="http://schemas.openxmlformats.org/spreadsheetml/2006/main" count="36593" uniqueCount="11471">
  <si>
    <t>Índice onomástico anual · Gazeta de Madrid</t>
  </si>
  <si>
    <t>Números 1 a 105 · 4 de enero–30 de diciembre de 1803</t>
  </si>
  <si>
    <t>Registros: 4.527</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</si>
  <si>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</si>
  <si>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</si>
  <si>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</si>
  <si>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</si>
  <si>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</si>
  <si>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</si>
  <si>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</si>
  <si>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</si>
  <si>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</si>
  <si>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</si>
  <si>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</si>
  <si>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</si>
  <si>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</si>
  <si>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Abacin, Pedro</t>
  </si>
  <si>
    <t>Pedro Abacin</t>
  </si>
  <si>
    <t>Citado en un aviso sobre fallecimiento, parentesco, haberes o derechos de herederos.</t>
  </si>
  <si>
    <t>Avisos y anuncios</t>
  </si>
  <si>
    <t>2 de diciembre de 1803</t>
  </si>
  <si>
    <t>Transcripción del OCR histórico; compruebe la grafía en el facsímil.</t>
  </si>
  <si>
    <t>Bautista 'Fabrega, Doña Isabel de la Plaza y Doña María Magdalena Chipa , como viuda» y heredera de D. Pedro Abacin, se hace saber á estos acudan á la citada Dirección general dentro del preciso término de 15 dias á deducir su derecho; con apercibimiento que pasado sin haberlo hecho les parará</t>
  </si>
  <si>
    <t>Cotejar OCR</t>
  </si>
  <si>
    <t>Abad, Antonio</t>
  </si>
  <si>
    <t>Antonio Abad</t>
  </si>
  <si>
    <t>Mencionado en un nombramiento, ascenso, concesión o disposición oficial.</t>
  </si>
  <si>
    <t>Nombramientos y disposiciones</t>
  </si>
  <si>
    <t>15 de noviembre de 1803</t>
  </si>
  <si>
    <t>te de ranaderos del propio cuerpo D. Agustín López: en el de Zaragoza al f ubteniente de granaderos D. Antonio Abad; y en el Suizo vacante de Yann al Cadete del mismo D. Joseph Jodoco Traxler. En los regimientos provinciales ha conferido ei Rey Compañía en el de Ciudad-Real á D. Antonio Andrés</t>
  </si>
  <si>
    <t>Abancens, Joseph</t>
  </si>
  <si>
    <t>Joseph Abancens</t>
  </si>
  <si>
    <t>13 de septiembre de 1803</t>
  </si>
  <si>
    <t>tarios de Aragón á Capitán primero al Capitán segundo del segundo batallón de Voluntarios de Aragón D. Joseph Abancens: jen el batallón de Voluntarios deGeronai. Teniente al Subteniente D. Joseph Ballester; y; en el citado «segundo batallón de Voluntarios de Aragón á Sargento mayor al Capitán prim</t>
  </si>
  <si>
    <t>Abascai, Bernardo</t>
  </si>
  <si>
    <t>Bernardo Abascai</t>
  </si>
  <si>
    <t>30 de septiembre de 1803</t>
  </si>
  <si>
    <t>ro de la catedral de Cuenca^ y para una Ración de la metropolitana de Manila, vacante por muerte de D. Bernardo Abascai, al Medio-Racionero déla misma D, V ícente Ines de Memige. Los tenedores de Vales-dinero de la tesorería de Consolidación, de la creación de i.° de Setiembre de 1802 , que hasta a</t>
  </si>
  <si>
    <t>Abbatucci, General</t>
  </si>
  <si>
    <t>General Abbatucci</t>
  </si>
  <si>
    <t>Mencionado en una noticia extranjera.</t>
  </si>
  <si>
    <t>Noticias extranjeras</t>
  </si>
  <si>
    <t>4 de febrero de 1803</t>
  </si>
  <si>
    <t>defendió en el invierno de 1796 á 97 la entrada del puente de Huninga, y de la muerte gloriosa del General Abbatucci, herido mortalmente en el famoso asalto que dieron los austríacos á aquel fuerte. Este monumento, como igualmente los otros dos que se ha,ñ establecido cerca de Kell y Brisac, en</t>
  </si>
  <si>
    <t>Abreu del Moral, Rafael</t>
  </si>
  <si>
    <t>Rafael Abreu del Moral</t>
  </si>
  <si>
    <t>Mencionado en un anuncio particular, económico o judicial.</t>
  </si>
  <si>
    <t>26 de abril de 1803</t>
  </si>
  <si>
    <t>Santiago; y para la del Gobierno de la villa de Valencia de Alcántara, territorio de esta orden, á D. Rafael Abreu del Moral; todas tres de primera clase ó entrada. La fragata correo de S. M. denominada Cantabria, que salió de Montevideo el 30 de Agosto del año último con rumbo para la Coruña, llegando</t>
  </si>
  <si>
    <t>Abreu, Antonio</t>
  </si>
  <si>
    <t>Antonio Abreu</t>
  </si>
  <si>
    <t>Mencionado en una noticia, disposición o aviso de España.</t>
  </si>
  <si>
    <t>Noticias de España</t>
  </si>
  <si>
    <t>9 de diciembre de 1803</t>
  </si>
  <si>
    <t>ocar la guitarra de 5 y 6 órdenes , con reglas generales de mano izquierda y derecha: compuesta por Don Antonio Abreu., conocido por el portugués ; ilustrada y aumentada con varios divertimientos honestos y útiles para los aficionados por el P. Fr. Víctor Prieto, organista, en el Real monasterio</t>
  </si>
  <si>
    <t>Acento, Vicente</t>
  </si>
  <si>
    <t>Vicente Acento</t>
  </si>
  <si>
    <t>28 de junio de 1803</t>
  </si>
  <si>
    <t>rgento mayor al Capitán del de Navarra D. Felipe Berenguer: en el de Africa Tenencia al Subreniente D. Vicente Acento: en el de Granada el, empleo de Sargento mayor al Capitán del de la Princesa D. Joseph Castañeda: en el de Irlanda el de Ayudante al Teniente graduado de Capitán D. Isidoro Diaz d</t>
  </si>
  <si>
    <t>Acosta, Francisco</t>
  </si>
  <si>
    <t>Francisco Acosta</t>
  </si>
  <si>
    <t>23 de agosto de 1803</t>
  </si>
  <si>
    <t>os D. Rafael Gavino de Zequeyra y D.Ignacio Loysel; á Subtenientes de granaderos á los de fusileros D. Francisco Acosta y D. Ramón Castellanos; á Subtenientes de compañía á los de bandera D. Gabriel O-Rian, D. Martin Oderiz y Don Joaquín Elosua, y á Subtenientes de bandera á los Cadetes D. Antonio Marí</t>
  </si>
  <si>
    <t>Acton</t>
  </si>
  <si>
    <t>16 de agosto de 1803</t>
  </si>
  <si>
    <t>tado sus credenciales al Rey. Ha tenido freqüentes conferencias con los Ministros ,y sobre todo con Mr. Acton, cuyo resultado ha sido la oferta deque su corte no obraría hostilmente contra el Reyno de Ñapóles. El Ministro del Elector de Wurtemberg, en Petersburgo, Mr. Nicolai, ha vuelto á</t>
  </si>
  <si>
    <t>Adan, Manuel</t>
  </si>
  <si>
    <t>Manuel Adan</t>
  </si>
  <si>
    <t>22 de marzo de 1803</t>
  </si>
  <si>
    <t>de granaderos D. Higínio ligarte y D. Joseph Moral; á Subtenientes de granaderos á los de fusileros D. Manuel Adan y D. Hilario Figueroa, y á Subtenientes de bandera á los Cadetes D. Luis Calatayud, D. Joseph Llaguno y D. Manuel Bezanilla.</t>
  </si>
  <si>
    <t>Addington</t>
  </si>
  <si>
    <t>17 de mayo de 1803</t>
  </si>
  <si>
    <t>ompiese el silencio en punto de las negociaciones con el gobierno francés sobre la paz ó la guerra. Mr. Addington sé había ceñido á dar cuenta de un mensage del Rey de 23 de Noviembre ultimo, y proponer que dentro de dos dias se tomase en consideración la parte de dicho inensage relativo á la</t>
  </si>
  <si>
    <t>uier, y el qual debía ser'muy satisfactorio en vista de lo que había dicho el expresado Chanciller. Mr. Addington, después de haber replicado al General en quanto á las dificultades de la materia que se presentaba á la deliberación , trató de aclarar las expresiones de que. había usado sobre</t>
  </si>
  <si>
    <t>á quien me es preciso dar completo testimonio de mi aprobación....... ” Sigue haciendo el elogio de Mr. Addington, y concluye diciendo que por las razones expuestas no puede votar á favor del hacimiento de gracias.- - &gt; ¡</t>
  </si>
  <si>
    <t>15 de julio de 1803</t>
  </si>
  <si>
    <t>mitiendo entrar en el servicio á los extrangeros___Reunióse luego la Cámara en junta de hacienda, y Mr. Addington hizo un larguísimo discurso, en que propuso el plan de subsidios, y las vias y medios de subvenir á ellos.*E1 total de los subsidios en'</t>
  </si>
  <si>
    <t>12 de agosto de 1803</t>
  </si>
  <si>
    <t>awkesbury, á quien se remitiéron inmediatamente á su casa de campo; También se expidiéron correos á Mr. Addington y á los otros Ministros.:__. Es muy activa la correspondencia dé la Rusia con la Inglaterra y con la Francia , y las mismas-gazetas ministeriales anuncian que es relativa * Por la d</t>
  </si>
  <si>
    <t>Adington</t>
  </si>
  <si>
    <t>Mencionado en un anuncio bibliográfico, artístico o editorial.</t>
  </si>
  <si>
    <t>Libros, estampas y avisos culturales</t>
  </si>
  <si>
    <t>ier. Aun no está decidida la suerte del Coronel Despard. Se dice que et Lord Nelson ha presentado á Mr. Adington una súplica de su parte. Entre tanto el Coronel pasa el tiempo escribiendo, y aun ha pedido le permitan tener un escribiente. Un violento incendio ha consumido la imprenta y almac</t>
  </si>
  <si>
    <t>8 de abril de 1803</t>
  </si>
  <si>
    <t>cunstancias por el honor de su corona, y por los esenciales intereses de su pueblo.” A propuesta de Mr. Adington se decretó que ai siguiente dia se deliberase sobre est-e mensage del Rey. Mapa 4 de Marzo. 1 gobierno de estado de la República bátava ha publicado un dec»ret» para la libre nave</t>
  </si>
  <si>
    <t>21 de junio de 1803</t>
  </si>
  <si>
    <t>fragatas en la costa de Holanda, y tres corbetas en Dunkerque. Es cierto que el honorable miembro (Mr. Adington) que después de habernos prometido una esquadra de 50 navios de: línea, dixo que solo había querido hablar de los cascos; así corno liat**a navios prontos á dan la vela á los buqu</t>
  </si>
  <si>
    <t>Adjntorí Serradora</t>
  </si>
  <si>
    <t>4 de marzo de 1803</t>
  </si>
  <si>
    <t>. Los Sres. Abric, hermanos, de Cádiz, rcmitiéron por el correo en 28 de Diciembre próximo pasado á D. Adjntorí Serradora ,del comercio de Barcelona, dos vales Reales de á 300 pesos,"creación de i.° de Mayo, «úms. 493548 y 493550; y otro de 150 pesos, de la de 1.® de Setiembre, núm. 221741 , todos en</t>
  </si>
  <si>
    <t>Adjutori Serradora</t>
  </si>
  <si>
    <t>Serradora. Quien sepa su paradero avisará á los referidos brés. Abric, herma* nos, de Cádiz-, ó al D. Adjutori Serradora, de Barcelona. Por la audiencia del Sr. D. Manuel de Torres, Teniente Corregidor de esta villa, y escribanía del número de D. Tomas de Sancha y Prado, se ha mandado sacar á subast</t>
  </si>
  <si>
    <t>Adrián Cardón</t>
  </si>
  <si>
    <t>31 de mayo de 1803</t>
  </si>
  <si>
    <t>cisco Arteaga-.y en la Compañía Flamenca del mismo Real cuerpo á Exento de número ál supernumerario D. Adrián Cardón, y á supernumerario al Cadete de esta clase D. &gt; Joaquín de la Cerda. En el regimiento de Pavía, quarto de Cazadores, se ha servido el Reypromover á Alférez al Sargento D. Bartolo</t>
  </si>
  <si>
    <t>Adrián García de Castro</t>
  </si>
  <si>
    <t>cos en el Real colegio de S. Telmo de esta ciudad, presididos por su Director el Capitán de Fragata D. Adrián García de Castro. D ió principio á estos actos el P. Juan Antonio Rodríguez, de las Escuelas Pías, Director de la de primeras letras de este colegio, con una disertación castellana sobre la reform</t>
  </si>
  <si>
    <t>Afc Velasco, Bernardo</t>
  </si>
  <si>
    <t>Bernardo Afc Velasco</t>
  </si>
  <si>
    <t>12 de abril de 1803</t>
  </si>
  <si>
    <t>s de misiones Guaranis y Tapes, que ha tenido á bien crear en las provincias del Rio de la Plata, á D. Bernardo Afc Velasco, Teniente Coronel del regimiento de infantería de Cltonía. El dia 22 de Diciembre último salió dei puerto de Montevideo el berantin correo de la Real Armada nombrado el Batidor ,</t>
  </si>
  <si>
    <t>Affry</t>
  </si>
  <si>
    <t>19 de abril de 1803</t>
  </si>
  <si>
    <t>nuestra común patria, á las disposiciones dé Ja acta mencionada, á reunirse al ciud. Affry, que ha obtenido la confianza del primer Cónsul, por quien ha sido nombrado Landammánn d¿ la Suiza, y poner toda confianza en él y en los futuros magistrados.</t>
  </si>
  <si>
    <t>Aguado, Pedro</t>
  </si>
  <si>
    <t>Pedro Aguado</t>
  </si>
  <si>
    <t>Torvebla-nca.,y. D..Sebastian Ve lasco y Rueda: Teniente de fusileros del/de Cuenca af Su.bteniente D. Pedro Aguado; y Subtenientes de bandera de los deJEcija, Salamanca, Toledo, Ciudad Real y Monterey á.D- Francisco de Paula Fernandez y Valdivia, D. Domingo Osorio, D. Vicente San.tisteban Sánc</t>
  </si>
  <si>
    <t>Aguado, Tomás</t>
  </si>
  <si>
    <t>Tomás Aguado</t>
  </si>
  <si>
    <t>20 de diciembre de 1803</t>
  </si>
  <si>
    <t>ateo Coronado y Anchuelo: para otra de la misma iglesia metropolitana, vacante por fallecimiento de D. Tomas Aguado, á D. Rafael Real de Senra: para otra también vacante en la referida santa iglesia de Toledo, por muerte de D. Juan Cabeza, á D. Ramón Escriche: para otra de la catedral de Orense</t>
  </si>
  <si>
    <t>Agudo, Manuel</t>
  </si>
  <si>
    <t>Manuel Agudo</t>
  </si>
  <si>
    <t>18 de noviembre de 1803</t>
  </si>
  <si>
    <t>premio á D. Manuel MaldonadoyD. Roque Sosvilla, el segundo á D. Francisco. Velarde, y el tercero á D. Manuel Agudo, D. Ramón Estrada y.D. Ramón Bodega. El numeroso y lucido concurso que asistió á este acto, presidido por el tribunal consular, quedó muy satisfecho de la aplicación y aprovechami</t>
  </si>
  <si>
    <t>Aguiar Rodríguez de Mejorada, Manuel</t>
  </si>
  <si>
    <t>Manuel Aguiar Rodríguez de Mejorada</t>
  </si>
  <si>
    <t>26 de julio de 1803</t>
  </si>
  <si>
    <t>de Talayera, en el arzobispado de Toledo, vacante por fallecimiento de Doín Joseph Félix Carrascosa D. Manuel Aguiar Rodriguez de Mejorada. En el regimiento de Reales Guardias Españolas se ha servido promo-ver el Rey á Capitán1 al Comandante de cazadores, graduado de Coro~nel, D. Rafael Madariaga. El Rey se ha servid</t>
  </si>
  <si>
    <t>Aguílar, Joseph</t>
  </si>
  <si>
    <t>Joseph Aguílar</t>
  </si>
  <si>
    <t>la Cruz; á Capitán primero al Capital* segundo D. Ramón Pola; á Capitanes segundos á los Tenientes D. Joseph Aguílar, D. Fernando Saravia y D. Joseph Diez Texada, y á Te-r nientes de Maestranza á los Subtenientes D. Joseph Hidalgo, D. Luis Sotomayor y D. Juan Calixto de Ojéda. El Rey se ha servi</t>
  </si>
  <si>
    <t>Aguilár, Pedro</t>
  </si>
  <si>
    <t>Pedro Aguilár</t>
  </si>
  <si>
    <t>11 de marzo de 1803</t>
  </si>
  <si>
    <t>fe del batallón de Pardos libres de infantería de Milicias disciplinadas de‘Panamá y su provincia á D. Pedro Aguilár., Ayudante del regimiento de infantería dé Milicias disciplinadas de Blancos de la misma provincia: para el empleo que este dexa ha nombrado S. M. al Teniente veterano de infanter</t>
  </si>
  <si>
    <t>Aguirre, Juan</t>
  </si>
  <si>
    <t>Juan Aguirre</t>
  </si>
  <si>
    <t>4 de octubre de 1803</t>
  </si>
  <si>
    <t>lgué; y en el segundo de Voluntarios de Aragón á Capitán segundo al Teniente, graduado* de Capitán, D. Juan Aguirre. El Rey se ha servido nombrar para la vara de Alcalde mayor de lá villa de Arjona, territorio de la orden de Calatrava, de primera clase ó entrada, á D. Francisco Alarcon y Sevill</t>
  </si>
  <si>
    <t>Aguirre, Tomás</t>
  </si>
  <si>
    <t>Tomás Aguirre</t>
  </si>
  <si>
    <t>22 de julio de 1803</t>
  </si>
  <si>
    <t>adetes de Reales Guardias de infantería Española D. Manuel Rodríguez Perez, Don Fráncisco Gregorio, D. Tomas Aguirre, D. Juan Ponsich, D. Felipe del Arco Agüero, D. Joseph Sánchez Tagle, D. Francisco Xaramillo, Don Dionisio López Pinto, D. Mariano Carrillo de Albornoz, D. Francisco Justis ,D. Be</t>
  </si>
  <si>
    <t>Ahtonio Hernández</t>
  </si>
  <si>
    <t>inos que se expresan en el prospecto publicado en la gazeta del martes 17 del presente mes. Carta á D. Ahtonio Hernández , médico titular de la villa de Beniganin, sobre el sistema de Guillermo Cullen en orden á la causa próxima de la calentura, y su impugnación por el Dr. Juan Brown, con una censur</t>
  </si>
  <si>
    <t>Aibobillá, Pedro</t>
  </si>
  <si>
    <t>Pedro Aibobillá</t>
  </si>
  <si>
    <t>26 de agosto de 1803</t>
  </si>
  <si>
    <t>s alumnos. Se remitirán láíí pretensiones^poí- medio- dél Escribano del Apuntamiento dé dicha villa D. Pedro Aibobillá; en' inteligencia de* que ¿e lia dís proveer la vacante en todo’crproxímóSBtfém^i’e. ' ’ Directorio-de réligiosás’pára su espiritual perfecciónpor S. Francisco de Sales: traducido</t>
  </si>
  <si>
    <t>Áicaraz, Juan</t>
  </si>
  <si>
    <t>Juan Áicaraz</t>
  </si>
  <si>
    <t>Don Bernardo Puisserxer en la América; D. Andrés Izquierdo para la costa de Galicia y Mediterráneo; D. Juan Áicaraz para Puerto-Rico y la Havana, en donde fué examinado y hecho Pilotín; D. Joseph Castelar y Baño para Francia é Italia; D. Lorenzo Llorca para Barcelona; D. Vicente Aicaraz para Fr</t>
  </si>
  <si>
    <t>Aicaraz, Vicente</t>
  </si>
  <si>
    <t>Vicente Aicaraz</t>
  </si>
  <si>
    <t>y hecho Pilotín; D. Joseph Castelar y Baño para Francia é Italia; D. Lorenzo Llorca para Barcelona; D. Vicente Aicaraz para Francia, y D. Manuel Legaspe para América, todos ellos de agregados al pilotage, por salir examinados, según está prevenido en la Real instrucción; y ademas de esta plaza exe</t>
  </si>
  <si>
    <t>Ailmer, Pedro</t>
  </si>
  <si>
    <t>Pedro Ailmer</t>
  </si>
  <si>
    <t>22 de febrero de 1803</t>
  </si>
  <si>
    <t>de infantería de línea siguientes: la del de América al Teniente Coronel agregado al de Extremadura D. Pedro Ailmer; y las de los del Príncipe y Borbon á los Coroneles graduados y Comandantes agregados á los de Ordenes Militares y Rorbon D. Pedro jBailin y Barón de Hinx: la del de Valencia ai S</t>
  </si>
  <si>
    <t>Aivarez de Mendieta, Francisco</t>
  </si>
  <si>
    <t>Francisco Aivarez de Mendieta</t>
  </si>
  <si>
    <t>25 de febrero de 1803</t>
  </si>
  <si>
    <t>Mechoacan ; y para otra plaza de Oidor de la Real Audiencia de Filipinas, vacante por promoción de D. Francisco Aivarez de Mendieta á otra de Alcalde del crimen de la de México, á D. Antonio Rodríguez de Cárdenas. Con fecha de 22 de Febrero se ha comunicado por el Ministerio de la Guerra al de Hacienda la Real</t>
  </si>
  <si>
    <t>Aivarez Espejo, Manuel</t>
  </si>
  <si>
    <t>Manuel Aivarez Espejo</t>
  </si>
  <si>
    <t>7 de enero de 1803</t>
  </si>
  <si>
    <t>as Españolas se ha servido el Rey promover á Alféreces de cazadores y granaderos a los de fusileros Don Manuel Aivarez Espejo y D. Domingo de Borja; y en el de Reales Guardias Walonas á primer Teniente de granaderos al primer Teniente y primer Ayudante mayor D. Joseph Conde de Roncaly. S. M. se ha dignado no</t>
  </si>
  <si>
    <t>Alamañy, Lorenzo</t>
  </si>
  <si>
    <t>Lorenzo Alamañy</t>
  </si>
  <si>
    <t>7 de octubre de 1803</t>
  </si>
  <si>
    <t>ástico inferior, unido con otros dos , y fundados en la catedral de Mallorca, vacante por muerte de D. Lorenzo Alamañy, á D. Nicolás Montaner: para el Priorato Regular de Sta. María de Moya nidlius dioecesis de Cataluña, vacante por fallecimiento de D. Fr. Francisco Llovet y Mas, á D. Fr. Antonio</t>
  </si>
  <si>
    <t>Alameda y Alonso, Joseph</t>
  </si>
  <si>
    <t>Joseph Alameda y Alonso</t>
  </si>
  <si>
    <t>18 de octubre de 1803</t>
  </si>
  <si>
    <t>e pintura, de una medalla •de dos onzas de oro, á D. Juan Joseph Marín----- El mismo de escultura á D. Joseph Alameda y Alonso.__ El segundo de pintura , de una medalla de onza de oro de peso» á D. Mariano Marín; y por haber trabajado en el mismo asunto D. Mariano Folch con bastante acierto, fué gratifica</t>
  </si>
  <si>
    <t>Alamo, Antonio</t>
  </si>
  <si>
    <t>Antonio Alamo</t>
  </si>
  <si>
    <t>ottzas á D. Pedro Terroba.— Quatro iguales de cabezas á D. Francisco Guzman,D. Antonio García Vera, D. Antonio Alamo y D. Manuel de Medina-----Para premiar la aplicación de otros quatro opositores de esta ultima ciase, se confirió á cada uno una onza de plata. __ Se despachó título de socias de méri</t>
  </si>
  <si>
    <t>Alarcon y Sevilla, Francisco</t>
  </si>
  <si>
    <t>Francisco Alarcon y Sevilla</t>
  </si>
  <si>
    <t>lde mayor de lá villa de Arjona, territorio de la orden de Calatrava, de primera clase ó entrada, á D. Francisco Alarcon y Sevilla. Real cédula de S. M. y Sres. del Consejo, por la qual se declara que los compradores de fincas de establecimientos píos quedan en libertad absoluta de hacer de ellas lo que tenga</t>
  </si>
  <si>
    <t>Alarcon y Torrubia, Bernardo</t>
  </si>
  <si>
    <t>Bernardo Alarcon y Torrubia</t>
  </si>
  <si>
    <t>15 de marzo de 1803</t>
  </si>
  <si>
    <t>ellanías que se hallan vacantes en la Real capilla de Señores Reyes nuevos de la ciudad de Toledo á D. Bernardo Alarcon y Torrubia: para un Beneficio de residencia de la parroquial de la villa deMerga* diócesis de Solsona, vacante por muerte de D. Francisco Claris, á D. Edualdo Camides y Guanter: para otro Be</t>
  </si>
  <si>
    <t>Alarcon, Antonio</t>
  </si>
  <si>
    <t>Antonio Alarcon</t>
  </si>
  <si>
    <t>6 de mayo de 1803</t>
  </si>
  <si>
    <t>sidro del Campo, se manda sacar á pública subasta un diamante brillante de iog§ granos , tasado por D. Antonio Alarcon y D. Manuel Ramos del Manzano en 677,145 rs., sin baxa ni descuento alguno. Las personas que quisieren hacer postura lo executen por la enunciada audiencia y escribanía dentro del tér</t>
  </si>
  <si>
    <t>Ojéda. El Rey se ha servido nombrar para la plaza del Consejo Real, vacante por separación del Sr. D. Antonio Alarcon , al Sr. D. Francisco</t>
  </si>
  <si>
    <t>Alarcon, Ignacio</t>
  </si>
  <si>
    <t>Ignacio Alarcon</t>
  </si>
  <si>
    <t>a del Sagrario de la misma catedral; y para otra de la catedral de la Havana, vacante por muerte de D. Ignacio Alarcon, al Dr. D^ Manuel Márquez, Catedrático que fué de Prima de Cánones de la uiiiver— fSidad de la isla de Sto. Domingo.. _ . . A los Subdelegados de Rentas se ha comunicado por el Mi</t>
  </si>
  <si>
    <t>Alaría Leal de Ibarra, Joseph</t>
  </si>
  <si>
    <t>Joseph Alaría Leal de Ibarra</t>
  </si>
  <si>
    <t>sia de Santiago de la villa de Constantina, en la diócesis de Sevilla, vacante por fallecimiento de D. Joseph Alaría Leal de Ibarra, á D. Tomas Sánchez Larios de Godoy: para una Media-Capellanía R acional de la catedral deTarazona, vacante por muerte de Don Cenon de Torres, á D. Manuel Galindo; y para una Cape</t>
  </si>
  <si>
    <t>Alava, General</t>
  </si>
  <si>
    <t>General Alava</t>
  </si>
  <si>
    <t>1 de febrero de 1803</t>
  </si>
  <si>
    <t>agata Fama, al ipando d[el Capitán dé Navio; D. «V^entuara Barcaíztegui, con pliegos de oficio, del General Alava ¿y eí [Gobernador, de .Filipinas para el ae Macao y el Comandante de la expedición inglesa.sulrta en aquel puerto , .participándo)e$ la. ínoti,ciarf4!e 'laGpáz1y'C.oó lo quál ¿sé</t>
  </si>
  <si>
    <t>29 de abril de 1803</t>
  </si>
  <si>
    <t>Supl., p. 12</t>
  </si>
  <si>
    <t>Y habiendo buscado cqel mes de Abril de Sol el mismo baxo de Scarborough el General Alava con los navios Montañés y S. Pedro para rectificar nuevamente su posición, valiéndose para ello de tres cronómetros que llevaba consigo, lo sitúa en esta forma. Extremo N.........</t>
  </si>
  <si>
    <t>Albanel, Juan</t>
  </si>
  <si>
    <t>Juan Albanel</t>
  </si>
  <si>
    <t>n Colas, y Tenencia al Subteniente D. Lúeas Belmar: en el de León el empleo de Ayudante al Teniente D. Juan Albanel : en el de Cantabria Gapellanía.al presbítero D. Anto</t>
  </si>
  <si>
    <t>Albani, Francisco (cardenal)</t>
  </si>
  <si>
    <t>Cardenal Francisco Albani</t>
  </si>
  <si>
    <t>1 de noviembre de 1803</t>
  </si>
  <si>
    <t>las episcopales en el Piamonte. El 15 por la mañana murió , de resultas de una larga enfermedad, el Cardenal Francisco Albani, decano, del sacro Colegio: nació rtm Urbino el 26 de Febrero de 1720 * y fué creado Cardenal por Benedictobxiv el 20 de Abril de 1747. p En la noche del dia 19 de este mes S. M.</t>
  </si>
  <si>
    <t>Albelda, Gabriel</t>
  </si>
  <si>
    <t>Gabriel Albelda</t>
  </si>
  <si>
    <t>22 de abril de 1803</t>
  </si>
  <si>
    <t>regimiento de infantería de Soria se ha servido promover el Rey á Subteniente de bandera al Cadete D. Gabriel Albelda: en el de Mallorca también á Subtenientes de bandera al Cadete D. Diego María Aranda, y al Sargento primero de granaderos D. Francisco Hernández; yá Capitán primero en el batallón</t>
  </si>
  <si>
    <t>Albelda, Joseph María</t>
  </si>
  <si>
    <t>Joseph María Albelda</t>
  </si>
  <si>
    <t>5 de abril de 1803</t>
  </si>
  <si>
    <t>uado de Teniente Coronel, D. Manuel Gómez de la Serna; á Tenientes á los Subtenientes de granaderos D. Joseph María Albelda y D. Juan Nicolás de la Fuente, y á Subtenientes de bandera ai Sargento primero de granaderos D. Pedro Alexo García y ai Cadete D. Juan Clausells:cn el de Burgos á Ayudante al Tenient</t>
  </si>
  <si>
    <t>Alberch, Agustín</t>
  </si>
  <si>
    <t>Agustín Alberch</t>
  </si>
  <si>
    <t>6 de septiembre de 1803</t>
  </si>
  <si>
    <t>yor de la ciudad de Calatayud á D. Joseph Roxo y Guillen; y para la de la Igualada , en Cataluña, á D. Agustín Alberch. En America, El Rey -se ha servido conferir á D. Francisco Xavier 'Montufar/Corregidor interino de la villa de Riobamba, en el distrito de la Audiencia de Quito, la propiedad de d</t>
  </si>
  <si>
    <t>Albini</t>
  </si>
  <si>
    <t>1 de marzo de 1803</t>
  </si>
  <si>
    <t>n de dichas proposiciones. Los de Bohemia, Saxonia y orden Teutónica no votaron---- Después de esto Mr. Albini dio cuenta del convenio que el Elector deTréveris ha hecho con el Elector de Baviera y el Duque de Wurtemberg relativamente al obispado de Augsburgo y Prebostazgo de Ellwangen. Po</t>
  </si>
  <si>
    <t>Alburquerque, Tomás</t>
  </si>
  <si>
    <t>Tomás Alburquerque</t>
  </si>
  <si>
    <t>8 de marzo de 1803</t>
  </si>
  <si>
    <t>ros D. Gregorio García; a Tenientes de fusileros ¿ios Subtenientes D. Fran*cisco López de Vergara y D. Tomas Alburquerque, y á Subtenientes de bandera á los Cadetes D. Joseph de Céspedes y D. Juan de Dios de Velazquez. ; ....»• -'i-' • Por ei Ministerio de Hacienda se ha comunicado con fecha de- 2 de</t>
  </si>
  <si>
    <t>Alcalá Galiano, Antonio Andrés</t>
  </si>
  <si>
    <t>Antonio Andrés Alcalá Galiano</t>
  </si>
  <si>
    <t>Jodoco Traxler. En los regimientos provinciales ha conferido ei Rey Compañía en el de Ciudad-Real á D. Antonio Andrés Alcalá Galiano, Teniente del de Écija: la Tenencia de granaderos del de Betanzos, al Teniente de fusiletos del mismo cuerpo D. Benito María de Castro: Tenencias en los de Mondoñedo, Ronda y Cuen</t>
  </si>
  <si>
    <t>Alcalá Galiano, Dionisio</t>
  </si>
  <si>
    <t>Dionisio Alcalá Galiano</t>
  </si>
  <si>
    <t>Mencionado en un suplemento de la Gazeta.</t>
  </si>
  <si>
    <t>Suplementos</t>
  </si>
  <si>
    <t>Supl., p. 7</t>
  </si>
  <si>
    <t>...... ............... y2. 46. Memoria sobre las observaciones de latitud y longitud en el mar, por D. Dionisio Alcalá Galiano, Brigadier de la Real Armada................................................................ 8. 7. Memoria sobre el uso del termómetro en la navegación, por Jonatas Williams, trad</t>
  </si>
  <si>
    <t>Alcalá Galiano, Rafael</t>
  </si>
  <si>
    <t>Rafael Alcalá Galiano</t>
  </si>
  <si>
    <t>1 de abril de 1803</t>
  </si>
  <si>
    <t>zo de Betschart al Capitán primero del mismo cuerpo Don Francisco Zey: Tenencia en el de Mallorca á D. Rafael Alcalá Galiano; V Capellanías en los de Valencia, Granada, Murcia y batallones de voluntarios de Campomayor y de Navarra á D. Vicente de Aznar,D. Joseph Jordania , D. Francisco de Cáceres , D. J</t>
  </si>
  <si>
    <t>Alcalá, Joseph María</t>
  </si>
  <si>
    <t>Joseph María Alcalá</t>
  </si>
  <si>
    <t>na de México, vacante por ascenso de D. Pedro Gómez de la Cortina á la Canongía Lectoral de ella, á D. Joseph María Alcalá, Gura del Sagrario de la misma catedral; y para otra de la catedral de la Havana, vacante por muerte de D. Ignacio Alarcon, al Dr. D^ Manuel Márquez, Catedrático que fué de Prima</t>
  </si>
  <si>
    <t>Alcántara Ruiz, Pedro</t>
  </si>
  <si>
    <t>Pedro Alcántara Ruiz</t>
  </si>
  <si>
    <t>. Francisco Car- cer, D. Juan Manuel Marín, D. Manuel Garayo, D. Joseph Arenas,Don Joaquín Foruer , D. Pedro Alcántara Ruiz y D. Vicente Asco ; á Alféreces á los Portaguiones D. Juan Rondeau , D. Andrés Ordoñez y D. Fran- » cisco de Paula Castellanos , al Cadete D. Joseph María Somalo, y al Sargento , grad</t>
  </si>
  <si>
    <t>Alcántara Torrcjon, Francisco</t>
  </si>
  <si>
    <t>Francisco Alcántara Torrcjon</t>
  </si>
  <si>
    <t>antamiento en lasf respectivas clases djbuxQ.L y. verificada la propuesta del maestro de ia escuela Don Francisco Alcántara Torrcjon, y el dictamen que sobre ella ha dado á la Sociedad el Director de la misma escuela de dibuxo D. Juan Nepomuce110 Cónsul, adjudicó el 2° á D. Joseph Thio Ruster, y el 3.0 á D, Fra</t>
  </si>
  <si>
    <t>Alcántara Torrejon, Francisco</t>
  </si>
  <si>
    <t>Francisco Alcántara Torrejon</t>
  </si>
  <si>
    <t>abían executado basta aquí, y manifestando el agradecimiento del cuerpo patriótico hacia su maestro D. Francisco Alcántara Torrejon por el esmero y actividad cón que había procurado el adelantamiento de sus discípulos. Concluido este discurso lo hizo de todo, él acto la capilla con una cantada gratulatoria á l</t>
  </si>
  <si>
    <t>Alcedo y Codallos, Rafael</t>
  </si>
  <si>
    <t>Rafael Alcedo y Codallos</t>
  </si>
  <si>
    <t>luntarios de Cataluña á los Cadetes de Reales Guardias Españolas D. Pedro Pablo Herce y Aguilera, y D. Rafael Alcedo y Codallos: á Teniente en el de Aragón á D. Cayetano Scheper, agregado en esta clase al de Ñapóles: á Capitán y segundo Subteniente en el fixo de Ceuta al primer Teniente de granaderos D. Ma</t>
  </si>
  <si>
    <t>Alconero, Antonio</t>
  </si>
  <si>
    <t>Antonio Alconero</t>
  </si>
  <si>
    <t>14 de enero de 1803</t>
  </si>
  <si>
    <t>Teniente Coronel D. Francisco Casamayor, Capitán del de infantería de la Princesa: en el de Leen á D. Antonio Alconero, Capitán del de Valencia: en el de Toro al Teniente Coronel D. Francisco Calonge, Sargento mayor del provincial de Soria: esta resulta al Teniente Coronel D. Francisco Xavier de M</t>
  </si>
  <si>
    <t>Alexander</t>
  </si>
  <si>
    <t>s 12 de Diciembre. E n la sesión del Parlamento presento en la Cámara baxa, el 9 del corriente mes, Mr. Alexander, las resoluciones adoptadas el dia anterior, y los debates contínuároa. Mr. Grenville recordó que el motivo que había tenido para no votar los 50$ marineros , era el no haberse da</t>
  </si>
  <si>
    <t>se portará con la dignidad correspondiente,__.Nada se discutió.en esta junta.—En la del 14 presentó Mr. Alexander el informe de la junta de vías y medios, y el Lord Folkstone 'Comenzó la discusión desaprobando altamente :la conducta de los Ministros, primero en general, y después contrayéndose</t>
  </si>
  <si>
    <t>Alexandre</t>
  </si>
  <si>
    <t>4 de enero de 1803</t>
  </si>
  <si>
    <t>s que gobiernan los países situados en las orillas del Rhin. Lóndres 3 de Diciembre. A yer presentó Mr. Alexandre á la- Cámara de los Comunes el informe de la junta de subsidios, de que se hizo lectura; y se determinó hacerla segunda vez. Mr. Grenville habló extrañando que el Ministro pidiese</t>
  </si>
  <si>
    <t>25 de enero de 1803</t>
  </si>
  <si>
    <t>de la Sublime Puerta, no se hallan todavía concluidas. En la Cámara de los Comunes, el 16 presentó Mr. Alexandre el informe sobre las leyes próximas á espirar, en el qual se halla una resolución para continuar las leyes relativas al comercio, y á- la situación geográfica de Malta que se reputa</t>
  </si>
  <si>
    <t>Alfonso Duran</t>
  </si>
  <si>
    <t>2 de septiembre de 1803</t>
  </si>
  <si>
    <t>! de Abaxo, perteneciente al mayorazgo de Orozco, lo verificará ante el Sr. Alcalde de casa y corte D. Alfonso Duran por la escribanía de provincia de D. Pedro de Valladares, en el término de 20 dias. En el lugar de Navalucillo y Talavera, arzobispado de Toledo, que se compone de 400 Vecinos , s</t>
  </si>
  <si>
    <t>16 de septiembre de 1803</t>
  </si>
  <si>
    <t>del alumbrado de un farol, ambos con réditos de 3 por 100 que la está repartido, acuda ante el Sr. D. Alfonso Duran, del Consejo de S. M. ,su Alcalde de casa-y corte,y por la escribanía de provincia de D. Pedro de Valladares que se admitirán las posturas que se hicieren siendo arregladas, y con</t>
  </si>
  <si>
    <t>Alfonso Duran y Barazabal</t>
  </si>
  <si>
    <t>6 de Marzo de 1801 por los acreedores á la quiebra de D. Juan Llaguno, de que conoce el Sr. Alcalde D. Alfonso Duran y Barazabal, por la escribanía de provincia de D. Pedro de Valladares , se hizo tns-, tanda por algunos á efecto de que se celebrase otra general, la qual ha estimado dicho Sr. Alcalde, señal</t>
  </si>
  <si>
    <t>Alfonso Femando de Irisarri</t>
  </si>
  <si>
    <t>oción; está llena de excelentes máximas políticas y morales. Se hallará traducida al castellano por D. Alfonso Femando de Irisarri en la librería de Dá/ila, calle de las Carretas. En la iib rería de Llera, plazuela del Angel, se vende un miserere á 4 voces a 16 rs. Otro miserere á Jco á 13 rs. En la librería de</t>
  </si>
  <si>
    <t>Alfonso María Ximenez</t>
  </si>
  <si>
    <t>l Teniente , graduado de Capitán, D. Francisco Martínez , y á Teniente al Subteniente de granaderos Don Alfonso María Ximenez : en el primer batallón dé voluntarios de Ara</t>
  </si>
  <si>
    <t>Alfonso Pablo Julián Moreno</t>
  </si>
  <si>
    <t>29 de marzo de 1803</t>
  </si>
  <si>
    <t>casa sita en la calle de Segovia, núm. 2 , manz. 187, que pertenecía al patronato que mandó fundar D. Alfonso Pablo Julián Moreno, en la cantidad de 43^ rs. en metálico; y para la mejora del quarto ha señalado 30 dias de término, contados desde el 23 de este. Quien quisiere hacer dicha puja acuda ante el nom</t>
  </si>
  <si>
    <t>Alfonso Prieto</t>
  </si>
  <si>
    <t>el Tesoro, casa núm. i.°, quarto principal, frente á la Real botica; en Cádiz y Barcelona en las de D. Alfonso Prieto y D. Joseph Ignacio Mollar, y en Valencia en casa de D. Antonio Estéban Faxardo; en las precitadas tres ciudades á 29 rs. Colección de santos mártires , confesores y varones venerable</t>
  </si>
  <si>
    <t>Alfonso, Christóbal</t>
  </si>
  <si>
    <t>Christóbal Alfonso</t>
  </si>
  <si>
    <t>10 de junio de 1803</t>
  </si>
  <si>
    <t>, D. Domingo del Sastre: en el de Valencia Subtenencia de bandera al Sargento primero de granaderos D. Christóbal Alfonso: en el de Murcia Tenencia al Subteniente de granaderos D. Mariano Flernandez; y Subtenencia de bandera al Sargento primero D. Francisco Diez; en el de Irlanda Capellanía al religi</t>
  </si>
  <si>
    <t>Algué, Joseph</t>
  </si>
  <si>
    <t>Joseph Algué</t>
  </si>
  <si>
    <t>e Capitán, D. Pedro Rodríguez: en el batallón de Voluntarios de Tarragona á Teniente al Subteniente D. Joseph Algué; y en el segundo de Voluntarios de Aragón á Capitán segundo al Teniente, graduado* de Capitán, D. Juan Aguirre. El Rey se ha servido nombrar para la vara de Alcalde mayor de lá vi</t>
  </si>
  <si>
    <t>Alives, Pedro</t>
  </si>
  <si>
    <t>Pedro Alives</t>
  </si>
  <si>
    <t>18 de enero de 1803</t>
  </si>
  <si>
    <t>cación de S. Rufo y Sta. María, de la parroquial de la villa de Prats del Rey, diócesis de Vique, á D. Pedro Alives: para otro Beneficio de S. Antonio de Padua de la parroquial de Castelldasens, diócesis de Lérida, á D. Joseph Fernandez; y para otro de la parroquia de S. Juan de la ciudad de Za</t>
  </si>
  <si>
    <t>Almarca, Joseph</t>
  </si>
  <si>
    <t>Joseph Almarca</t>
  </si>
  <si>
    <t>13 de mayo de 1803</t>
  </si>
  <si>
    <t>adrid: un tomo en 8.° Se hallará en la librería de Fernandez, frente á S. Felipe el"Real. Elogio de D. Joseph Almarca, leído en la Sociedad patriótica de Madrid por D. Nlcasio Alvarez de Cienfuegos. Se hallará á 4 rs. en la librería de Castillo, frente á S. Felipe el Real. Causas de la escasez y</t>
  </si>
  <si>
    <t>Almarza, Agustín</t>
  </si>
  <si>
    <t>Agustín Almarza</t>
  </si>
  <si>
    <t>7 de junio de 1803</t>
  </si>
  <si>
    <t>vido nombrar para la Dignidad de Tesorero de la catedral de Barcelona, vacante por fallecimiento de D. Agustín Almarza, á D. Manuel Tordana, Capellán del primer regimiento det;Real cuerpo de Artillería; y para una Ración de la metropolitana dreTarragona, vacante por muerte de D. Joseph Bartroii, i</t>
  </si>
  <si>
    <t>Almonaeid, Francisco Xavier</t>
  </si>
  <si>
    <t>Francisco Xavier Almonaeid</t>
  </si>
  <si>
    <t>esia y Obispado de Palenciá, vacante por fallecimiento del limo. Sr. D, Buenaventura Moyano, ál Sr. D. Francisco Xavier Almonaeid , Canónigo Magistral de la catedral de Salamanca. S. M. se ha servido nombrar para la Dignidad de Arcediano mayor del Salvador de la. metropolitana de Zaragoza, vacante por muerte</t>
  </si>
  <si>
    <t>Aloarran, Joseph</t>
  </si>
  <si>
    <t>Joseph Aloarran</t>
  </si>
  <si>
    <t>29 de noviembre de 1803</t>
  </si>
  <si>
    <t>sexos que no habian pasado las viruelas, se procedió efectivamente á esta operación, que executáron D. Joseph Aloarran y D. Gregorio González, sin que se~experinientase la mas leve alteración en la salud de los vacunados; antes bien confirmó el feliz éxito de esta nueva prueba las notorias utilidades</t>
  </si>
  <si>
    <t>Alona</t>
  </si>
  <si>
    <t>28 de enero de 1803</t>
  </si>
  <si>
    <t>s «ene establecieron desputa que comenzó ia restauración de esta monarquía hasta Mr ticmpos del Rey D. Alona» el Sabio, en que se instituyeron el Ftieré Real y jjl siete Partidas: w autor IR.Antonio Fernandez Prieto y Sotete. £i hallará en 1» librería 4e Fernando*, frente dS. Felipe-el R</t>
  </si>
  <si>
    <t>Aloys Reding</t>
  </si>
  <si>
    <t>4?I $chwk» el 24. de Abril pot la tárd’e', ó inmediatameute tuvo tina confereflcia con Mr. Aloys Reding, para quien parece traía una comisión particular. Al dia siguiente por la mañana vólviéron á conferenciar, y desdes partió el General Rapp----- Reding ha dado cuenta de estas conf</t>
  </si>
  <si>
    <t>Alpin, Almirante</t>
  </si>
  <si>
    <t>Almirante Alpin</t>
  </si>
  <si>
    <t>10 de mayo de 1803</t>
  </si>
  <si>
    <t>ara de los Comunes á propuesta del Canciller del Echiquier. El dia i.° de este mes , en el navio el Almirante Alpin, de la compañía de las Indias , que había llegado de Aladras 15 dias antes, se descu-* brió en la bodega una serpiente verde de un tamaño monstruoso. Su color era del verde de la</t>
  </si>
  <si>
    <t>Alvarado, Joseph Ignacio</t>
  </si>
  <si>
    <t>Joseph Ignacio Alvarado</t>
  </si>
  <si>
    <t>18 de febrero de 1803</t>
  </si>
  <si>
    <t>referida iglesia: para este Arcedianato al Chantre D. Domingo Larion: para la Chantría ai Tesorero D. Joseph Ignacio Alvarado : para la Tesorería al Canónigo D. Pablo Larinaga; para esta Canongía al Racionero D. Bartolomé Bueno; y para la Ración al Medio Racionero Don Jdiguel Dulce. . ' S. M. se ha servi</t>
  </si>
  <si>
    <t>Alvares de Ácevedb, Tomás</t>
  </si>
  <si>
    <t>Tomás Alvares de Ácevedb</t>
  </si>
  <si>
    <t>11 de febrero de 1803</t>
  </si>
  <si>
    <t>encia de Guadalaxara : para otra plaza de Ministro Togado del propio Consejo, vacante por muerte de D, Tomas Alvares de Ácevedb, á D. Benito de la Mata-Linares, Regente de la Real Audiencia de Buenos-Ayres; y para la Fiscalía del mismo Tribunal por lo perteneciente al Perú, vacante por jubilación de D. Jos</t>
  </si>
  <si>
    <t>Álvarez Barreyro, Francisco</t>
  </si>
  <si>
    <t>Francisco Álvarez Barreyro</t>
  </si>
  <si>
    <t>22 de noviembre de 1803</t>
  </si>
  <si>
    <t>den del Excmó. Sr. Marques de Casafuerte, Virey, Gobernador y Capitán general de Nueva-España , por D, Francisco Alvarez Barreyro, en el qual se señalan das principales poblaciones, todos sus presidies, y la situación de los indios gentiles con quienes confinan dichas provincias.* Se hallará con el particula</t>
  </si>
  <si>
    <t>Álvarez Campana, Joseph</t>
  </si>
  <si>
    <t>Joseph Álvarez Campana</t>
  </si>
  <si>
    <t>de Castro: la del de Burgos*al Comandante del tercer- batallón del de Córdoba, graduado de Coronel, D. Joseph Alvarez Campana: la del de Murcia al del propio cuerpo D. Antonio Cornide: la ael de León al del mismo regimiento D. Joseph García Ollpqui: la del de Irlanda al del propio cuerpo D. Juan Naghteñ:</t>
  </si>
  <si>
    <t>Álvarez Celleruelo, Félix</t>
  </si>
  <si>
    <t>Félix Álvarez Celleruelo</t>
  </si>
  <si>
    <t>8 de julio de 1803</t>
  </si>
  <si>
    <t>D. Juan de Uriarte; y en el batallón de Voluntarios de Valencia á Subteniente de bandera al Cadete D. Félix Alvarez Celleruelo. También se ha servido el Rey promover en el regimiento de infantería de Africa á Teniente al Subteniente D. Antonio Alvero: en el de Sevilla á Teniente Coronel ai Comandante del</t>
  </si>
  <si>
    <t>Álvárez de Acevedo, Tomás</t>
  </si>
  <si>
    <t>Tomás Álvárez de Acevedo</t>
  </si>
  <si>
    <t>8 de febrero de 1803</t>
  </si>
  <si>
    <t>ado &amp;e. •El dia primero de Noviembre último, falleció en esta corte, á los 66 años de edad , el Sr. D. Tomas Álvárez de Acevedo , caballero de la Real y distinguida orden de Carlos m , Ministro togado del Real y supremo Consejo de las Indias. Sirvió á S. M. por espacio de 36 años, empezando su carrera de E</t>
  </si>
  <si>
    <t>Álvarez de Eohorqües, Joseph Agustín</t>
  </si>
  <si>
    <t>Joseph Agustín Álvarez de Eohorqües</t>
  </si>
  <si>
    <t>30 de diciembre de 1803</t>
  </si>
  <si>
    <t>cia del Real servicio y del público. , ’El dia 3 de D iciembre falleció en esta corte el Excmo. Sr. D. Joseph Agustín Alvarez de Eohorqües , Marques de Ruchena, que empezó su carrera militar de Guardia de Corps de la Magestad del Sr. Felipe v; la continuó de grado en grado hasta el último de Sargento Mayor, Inspector</t>
  </si>
  <si>
    <t>Álvarez de Sot, Juan</t>
  </si>
  <si>
    <t>Juan Álvarez de Sot</t>
  </si>
  <si>
    <t>12 de julio de 1803</t>
  </si>
  <si>
    <t>de Uruñueta: para otra del Gobierno de la ciudad de Almagro, territorio de la orden de Calatrava, á D. Juan Alvarez de Sot amayar, ambas de segunda clase: para otra del Gobierno de la ciudad •de Llerena, en la orden dé Santiago, de primera clase ó entrada, á.Don Fernando Caraborda y Nudez; y para otra</t>
  </si>
  <si>
    <t>Álvarez Guerra, Juan</t>
  </si>
  <si>
    <t>Juan Álvarez Guerra</t>
  </si>
  <si>
    <t>frailees,por unasociedad de agrónomos , y ordenadopor el Ábate Rozier : traducido ai castellano por D. Juan Alvarez Guerra, individuo de mérito en la clase de agricultura de la Real Sociedad económica de,Madrid : tomo 15. Contiene ep1;re otros los artículos sanear, sarna; sarracénico (trigo), sauce-,</t>
  </si>
  <si>
    <t>Álvarez Nava, Joseph</t>
  </si>
  <si>
    <t>Joseph Álvarez Nava</t>
  </si>
  <si>
    <t>ei de la Princesa á Subteniente de bandera al Capitán que fue del extinguido de Nobles de Asturias D. Joseph Alvarez Nava: en él de Málaga á Subteniente de bandera al Sargento primero D. Joseph de Borges: en el de Voluntarios de Castilla á Teniente al Subteniente D. Severo Menaza: en el de Voluntario</t>
  </si>
  <si>
    <t>Álvarez Ordoño, Juan de Dios</t>
  </si>
  <si>
    <t>Juan de Dios Álvarez Ordoño</t>
  </si>
  <si>
    <t>al del propio cuerpo D. Tomas de Hebia: la del de América al del mismo cuerpo, graduado de Coronel, D. Juan de Dios Alvarez Ordoño: la del de la Princesa al del propio cuerpo D. Pedro Miranda: la del de Málaga al de Granaderos voluntarios de Estado D. Isidro del Saso: la del de Jaén al del mismo cuerpo, gradu</t>
  </si>
  <si>
    <t>Álvarez Posadilla, Juan</t>
  </si>
  <si>
    <t>Juan Álvarez Posadilla</t>
  </si>
  <si>
    <t>nte, en especial á los cosecheros v obligados de vino en los pueblos administrados &amp;c.: por el Lie. D. Juan Alvarez Posadilla: tomo i.° Este tomo, que es tan necesario á los~ pueblos para hacer los repartimientos de Reales contribuciones, se venderá separado de los demas de la obra (que se halla en prens</t>
  </si>
  <si>
    <t>y útil á los que tienen la obra de los cinco juicios del Febrero: un tomo en 4.0: su autor el Lie. D. Juan Alvarez Posadilla. Se vende junto con el Juicio criminal y separado á 20 rs. en papel y 22 en pergamino en la librería de Quiroga, calle de las Carretas, adonde acudirán todos los subscriptores á r</t>
  </si>
  <si>
    <t>77? S. M. se ha servido nombrar para la Fiscalía del Crimen de la Real Audiencia de Valencia á D. Juan Alvarez Posadilla; y para una plaza de Ministro de la Real Audiencia de Mallorca á D. Joseph Várela de Seixas. Asimismo ha nombrado S. M. para la Vara de Alcalde mayor de la ciudad de Calatayud á D</t>
  </si>
  <si>
    <t>Álvarez, Andrés</t>
  </si>
  <si>
    <t>Andrés Álvarez</t>
  </si>
  <si>
    <t>gas, cerería, plazuela de S. Ildefonso; Sres. Escuza, hermanos y compañía , carrera de S. Gerónimo; D. Andrés Alvarez, calle de S. Dámaso; D. Juan Aran, platería, calle de las Carretas, esquina á la de Majadeiritos; D. Joseph Basterra, postigo de S. Martin, lonja de Muñoz. En todos ellos hay un c</t>
  </si>
  <si>
    <t>Álvarez, Bernardo</t>
  </si>
  <si>
    <t>Bernardo Álvarez</t>
  </si>
  <si>
    <t>5 de agosto de 1803</t>
  </si>
  <si>
    <t>er á Tenientes en el regimiento de infantería de Toledo á D. Salvador Salazar: en el de Ilibernia á D. Bernardo Alvarez; y en el de Borbon á D. Francisco La Coste y á D. Mayeuil de Borredon, todos Subtenientes de granaderos de los mismos cuerpos; y á Subteniente de bandera en el de Burgos al Cadete</t>
  </si>
  <si>
    <t>Álvarez, Gregorio</t>
  </si>
  <si>
    <t>Gregorio Álvarez</t>
  </si>
  <si>
    <t>Don Juan Antonio Pelaez : en el de Granada Subtenencia de bandera al Sarento primero de granaderos D. Gregorio Alvarez; y Capellanía al presf itero D, Francisco Bravo y Tocados: en el de Asturias Capellanía al presbítero D, Juan Manuel Joba: en el de Navarra Compañía ai Teniente de.granaderos, gra</t>
  </si>
  <si>
    <t>Álvarez, Juan</t>
  </si>
  <si>
    <t>Juan Álvarez</t>
  </si>
  <si>
    <t>,al anterior, y en ordenanza un poco ménos: tiene un año y un mes de setvicio. El de tercera clase, D. Juan Alvarez, fue preguntado de algunas obligaciones de ordenanza y de la mayor parte de aritmética: tiene siete meses de servícíId. También solicitó presentarse á público exámen D. Joseph Mar</t>
  </si>
  <si>
    <t>13 de diciembre de 1803</t>
  </si>
  <si>
    <t>arios, sino también á los Letrados jóveneá pára precaver abusos de fatalesconsequéncias : su: autor D. Juan Alvarez dePosadillae primeraparte: un tomo eñ 4.0: segunda edición. Este tomo por . sei* el .• sólo necesario á los Escribanos que actúan5 con Jueces legóte, y los dos solo útiles , se yénde</t>
  </si>
  <si>
    <t>Álvarez, Manuel</t>
  </si>
  <si>
    <t>Manuel Álvarez</t>
  </si>
  <si>
    <t>23 de septiembre de 1803</t>
  </si>
  <si>
    <t>dro López Hermoso : en el segundo batallón de Voluntarios de Cataluña á Capiran segundo al Teniente D. Manuel Alvarez ; y eñ el primero de Barcelona á Teniente al Subteniente D. Juan Rovira. Asimismo se ha dignado S.M, conceder Subtenencias de bandera en el regimiento de infantería de la Corona a</t>
  </si>
  <si>
    <t>io34 granaderos Voluntarios de Estado Subtenencia de bandera al Sargento primero D. Manuel Alvarez. Asimismo se ha servido S. M. conferir Compañía en el regí miento de infantería de Jaén á su caballero Page D. Joaquín Ezpeleta: Tenencias en el de Córdoba y en el segundo batalló</t>
  </si>
  <si>
    <t>Alvaro Chacón</t>
  </si>
  <si>
    <t>uerpo; á Tenfénte Coronel al Xefe de Brigada D. Luis Pesino, y á Xefe de Brigada al Capitán primero D. Alvaro Chacón. Por el Ministerio de Hacienda se ha comunicado con fecha de 30 de Julio la Real orden siguiente: El Rey se ha servido habilitar los puertos de Sonsonate y Realejo, en la costa de</t>
  </si>
  <si>
    <t>Alvero, Antonio</t>
  </si>
  <si>
    <t>Antonio Alvero</t>
  </si>
  <si>
    <t>én se ha servido el Rey promover en el regimiento de infantería de Africa á Teniente al Subteniente D. Antonio Alvero: en el de Sevilla á Teniente Coronel ai Comandante del tercer batallón de lás Ordenes Militares D. Joseph Gavarre: en el de Toledo á Teniente al Subteniente de granaderos D. Josep</t>
  </si>
  <si>
    <t>Amalia Perehet, María</t>
  </si>
  <si>
    <t>María Amalia Perehet</t>
  </si>
  <si>
    <t>ro metáliep. . .. En ei juzgado .de la Dirección general; de. correos se están siguiendo autos por, Doña María Amalia Perehet, viuda.de D._ Francisco, Rígal, vecino y del comercio que fué de esta corte, con los accionistas de la Real diligencia de coches extinguida ; y no habiendo comparecido á usar del</t>
  </si>
  <si>
    <t>Amar, Joseph</t>
  </si>
  <si>
    <t>Joseph Amar</t>
  </si>
  <si>
    <t>ativa y preservativa de dolores de costado y pulmonías : escritas par el Dr. D. Joseph Amar, Médico que fue de Cámara de S. M. Se hallarán en la librería de Fernandez » frente á S. Felipe el Real., SUPLEMENTO</t>
  </si>
  <si>
    <t>Amat, Félix</t>
  </si>
  <si>
    <t>Félix Amat</t>
  </si>
  <si>
    <t>24 de mayo de 1803</t>
  </si>
  <si>
    <t>e ha de rematar en el siguiente útil. Historia Eclesiástica, ó tratado de la Iglesia de J. C. : por D. Félix Amat, Canónigo Magistral de Tarragona : tomo 11. Contiene la conclusión de lo perteneciente al concilio de Trento : todo lo relativo á los enemigos de la Iglesia, y á las órdenes regul</t>
  </si>
  <si>
    <t>2 de agosto de 1803</t>
  </si>
  <si>
    <t>tedral de Urge! á D. Francisco de la Encina : para el Arcedianato mayor de la catedral de Tortosa á D. Félix Amat j Abad electo de la colegiata de S. Ildefonso: para tres Beneficios de la parroquia de Villafranca del Panadés , diócesis de Barcelona, vacantes por los fallecimientos de D. Agust</t>
  </si>
  <si>
    <t>idro el Real de esta corte los limo?. Sres. D. Vicente de Soto y Valcárcel, Obispo de Valladolid, y D. Félix Amat, Arzobispo de Palmira y Abad de la Granja: siendo Consagrante el Emo. y Excmo. Sr. Cardenal Arzobispo de Toledo; y Asistentes los limos. Sres. D. Francisco dé la Cuerda y D. Atana</t>
  </si>
  <si>
    <t>Amerío Vicente de Puig y Ros</t>
  </si>
  <si>
    <t>15 de febrero de 1803</t>
  </si>
  <si>
    <t>Besalu á D. Fr. Joseph Antonio de Tord y de Padro: para un Beneficio del de S. Salvador de Breda á D. Amerío Vicente de Puig y Ros; y para ua Beneficio simple servidero del lugar de Roeios*</t>
  </si>
  <si>
    <t>Amesti, Ramón</t>
  </si>
  <si>
    <t>Ramón Amesti</t>
  </si>
  <si>
    <t>25 de noviembre de 1803</t>
  </si>
  <si>
    <t>, Capitán del regimiento de dragones de España, íixo del mismo Reyno; y la Compañía que este dexa á D. Ramón Amesti, Capitán primero de la primera compañía fixa de Artillería de la plaza de Ceuta. S. M. se ha servido nombrar para una plaza de Alcalde del crimen de la Audiencia de México, vacant</t>
  </si>
  <si>
    <t>Ametller, Blas</t>
  </si>
  <si>
    <t>Blas Ametller</t>
  </si>
  <si>
    <t>11 de noviembre de 1803</t>
  </si>
  <si>
    <t>, y hace juego con la de la pesca del cocodrilo; dibuxada por D. Pedro Pascual Moles, y grabada por D. Blas Ametller, Académico de mérito de la Real de San Fernando. Se hallará en el despacho de la calcografía de la imprenta Real. A D. Francisco del Valle, vecino y del comercio de paños de esta</t>
  </si>
  <si>
    <t>Amiet, Juan Jorge</t>
  </si>
  <si>
    <t>Juan Jorge Amiet</t>
  </si>
  <si>
    <t>11 de octubre de 1803</t>
  </si>
  <si>
    <t>egimiento de Aragón D. Joseph^Navarro: en;el de iiifantería Suizo dé Schmid á Subteniente ai Cadete D. Juan Jorge Amiet; y en él de Ruttiman á Capitán .segundo al Ayudante, graduado dé ^Capitán, D. Francisco Antonio Máister. En América. El Rey se ha servido nombrar Ayudantes veteranos de los regimi</t>
  </si>
  <si>
    <t>Amizonense y Auxiliar, Obispo</t>
  </si>
  <si>
    <t>Obispo Amizonense y Auxiliar</t>
  </si>
  <si>
    <t>, calle de las Carretas. Doctrinas y sermones para misión del limo. Sr. D. Fr. Miguel de Santander, Obispo Amizonense y Auxiliar del arzobispado de Zaragoza: tomos 4.0 y 5.0, que contienen 6 doctrinas sobre las condiciones necesarias para hacer una buena confesión : sermones morales sobre diferentes asuntos : e</t>
  </si>
  <si>
    <t>An, Joseph Ramón</t>
  </si>
  <si>
    <t>Joseph Ramón An</t>
  </si>
  <si>
    <t>ntería de León; y en el de Reales Guardias Walonas ha promovido á segundo Ayudante mayor al Alférez D. Joseph Ramón An¿1JÍE1 Rey se ha servido conceder en los regimientos de infantería de la Revna y Murcia Subtenencias de bandera al Cadete D. Pedro Fernandez y al Sargento primero D. Joseph Pedrera</t>
  </si>
  <si>
    <t>An, Juan</t>
  </si>
  <si>
    <t>Juan An</t>
  </si>
  <si>
    <t>9 de septiembre de 1803</t>
  </si>
  <si>
    <t>ha servido nombrar para la Canongía Lectoral de la metropolitana de México, vacante por ascenso; de D. Juan An^ tomo Bruno á la Dignidad de Tesorero de ella , á D. Pedro Gómez de la Cortina, Medio+Radonero de la propia; y para una Ración de la catedral del Cuzco, vacante por fallecimiento</t>
  </si>
  <si>
    <t>Anastasio Costadoat</t>
  </si>
  <si>
    <t>os: entre los de primeras letras Manuel Galindo y D. Manuel Gómez, de la clase del maestro D. Juan, Don Anastasio Costadoat y D. Francisco Romero y Cepeda , de la de D. Cosme , una banda cada uno azul y encarnada, con sello de la Sociedad bordado de plata y sedas de colores , costeadas á expensas del dicho</t>
  </si>
  <si>
    <t>Andermatt, General</t>
  </si>
  <si>
    <t>General Andermatt</t>
  </si>
  <si>
    <t>, para representar á estos cantones ¡en el congreso. La dieta de Zug ha nombrado por su diputado al General Andermatt. El cantón de underwald ha elegido á los ciudadanos Kaiser y Y'onfiue para igual encargo. Estos dias fué conducido ante el General Ney el redactor de uno de los diarios de Berna,</t>
  </si>
  <si>
    <t>epartamento de la Guerra, un informe tan exácfco como pueda ser sobre las operaciones-militares del General Andermatt, Se piden particularmente las circunstancias del combate de la llengg , el sitio de Zurich, la retardación de la marcha del exército sobre Berna, sus operaciones después de la ret</t>
  </si>
  <si>
    <t>urich ha publicado un estado de los daños causados á aquella ciudad en el bombardeo ordenado por el General Andermatt. Liorna 1$ de Diciembre. E iscriben de Ñapóles que Mr. Italiski, Encargado de Negocios de ía corte de Rusia cerca de la de Ñapóles, se embarcó para Constantinopla el 30 del mes úl</t>
  </si>
  <si>
    <t>Andeyro, Antonio</t>
  </si>
  <si>
    <t>Antonio Andeyro</t>
  </si>
  <si>
    <t>ina.del Campo á D..Francisco Xavier Campa: para la V ara de Alcaide mayor de la villa del Bonillo á D. Antonio Andeyro; y para la</t>
  </si>
  <si>
    <t>Andreosi, General</t>
  </si>
  <si>
    <t>General Andreosi</t>
  </si>
  <si>
    <t>asuntos de la mayor importancia---- Igualmente debo informar á la Cámara que el Embaxador francés, General Andreosi, ha pedido sus pasaportes para hacer uso de ellos luego que sepa que- el Lord Whitworth ha salido de Francia. El Lord tiene orden de S. M. de salir de Paris.en dia determinado, si</t>
  </si>
  <si>
    <t>omper el vinculo' de paz que unia á los dos estados. Él Lord Hawkesbury en ij. del mismo entrego al General Andreosi una nota vaga, agresiva y absoluta , la que lejos de aclarar nada, obscurecía más la materia, dexando apenas divisar la posibilidad de abrir discusión, y mucho ménos esperanza de</t>
  </si>
  <si>
    <t>Andrés Antonio</t>
  </si>
  <si>
    <t>dad: para un Beneficio de S. Pedro de Murcia, vacante por muerte de D. Antonio Montezuma y Roxas, á D. Andrés Antonio d« Iturmendi, con la obligación de precisa y personal residencia: para otro Beneficio simple de la parroquial de S. Vicente de Galdones, en el concejo de Gijon, diócesis-de Oviedo</t>
  </si>
  <si>
    <t>Andrés-Vila</t>
  </si>
  <si>
    <t>, 195929 , 101127; 30178Í61:1I LQ53 ** i6@§í4&gt; 11^6384» , 216386,216390, 216395»todos á laórcfen de D. Andrés-Vila,,sin éndcteO alguno. Qualquiera persona que haya hallado, dichos vales,'ó parte de ellos, se servirá entregarlos en Madrid a los Sres. Franch, Sobrino y compañía, en Barcelona á D</t>
  </si>
  <si>
    <t>Andreu y Ortega, Joaquín</t>
  </si>
  <si>
    <t>Joaquín Andreu y Ortega</t>
  </si>
  <si>
    <t>20 de septiembre de 1803</t>
  </si>
  <si>
    <t>llará á real en ei despacho de la imprenta Real. Por el correo del día 18 de Agosto de 1803 remitió D. Joaquín Andreu y Ortega , vecino de la villa de Valls, en Cataluña, á Juan Oriol y Soler, de Barcelona , endosados á favor de este, tres vales de 1 §0 pesos, de i.° de Setiembre, números 184159, 185114 y</t>
  </si>
  <si>
    <t>Anfpnio María</t>
  </si>
  <si>
    <t>12 de septiembre de 1803</t>
  </si>
  <si>
    <t>73 (extraord.)</t>
  </si>
  <si>
    <t>a j ,que lo fueron los Capellanes de Honor el J)r. D; Agustín librero , el Dr. D. Basilio Salcedo y D. Anfpnio María .Izquierdo&gt; con ptío-baiico separado</t>
  </si>
  <si>
    <t>Angulo y Santa María, Joseph</t>
  </si>
  <si>
    <t>Joseph Angulo y Santa María</t>
  </si>
  <si>
    <t>olúntanos de la Coiona, a los Cadetes del de Reales Guardias Españolas D. Francisco de Paula Landa, D. Joseph Angulo y Santa María, D. Francisco Gil de Bernabé, D. Antonio Vázquez de Aldana y del Aguila, D. Diego Estrada, D. Francisco de Paula Espinosa de los Monteros y D. Gabriel Narciso Pantoja. Y en los de</t>
  </si>
  <si>
    <t>Aniceto Joseph Sánchez, Antonio</t>
  </si>
  <si>
    <t>Antonio Aniceto Joseph Sánchez</t>
  </si>
  <si>
    <t>Montanehes, de segunda clísela D. Antonio Fernando Briz: para la del Gobierno de la vllla.de Giczaá D. Antonio Aniceto Joseph Sánchez, todas en el territorio de la orden-de Santiago; y para la de Altnédovar del Campo&gt; también de primera dase, en el territorio de la orden de Calatrava, á D. Jorge Ferrer. Por el M</t>
  </si>
  <si>
    <t>Anio</t>
  </si>
  <si>
    <t>menor, 4 rs. en papel, 5 en pergamino y 7 en pasta. = Carta de D. Teófilo Filadelfo, presbítero, á D. Anio* nio Val verde: 4 rs. en rústica. :z=:;ÜoIeccÍon. de pastorales del limo. Sr. D. Fr. Joseph Antonio de S. Alberto, Arzobispo de la Plata-, dos tomos en 4.0 mayor , 24 rs.; en pape</t>
  </si>
  <si>
    <t>Anselmo</t>
  </si>
  <si>
    <t>o pastoral, decirles misa todos los dias y cuidar de la capilla, y en el caso que falte el referido D. Anselmo, quiere S. M- que se erija en Vicaría perpetua el dicho Beneficio con las expresadas cargas, sacándose á concurso. En el regimiento de infantería de Zaragoza se ha servido promove</t>
  </si>
  <si>
    <t>Anselmo Aguado</t>
  </si>
  <si>
    <t>n Pedro de Moya, en la diócesis de Cuenca, vacante por fallecimiento de D, Manuel Vícente Osorio, á D. Anselmo Aguado, con retención de la capellanía que obtiene , y la obligación de residir por sí mismo en la villa de Sacedon durante la temporada de baños,asistir á los enfermos espiritualmente y</t>
  </si>
  <si>
    <t>Anselmo de Soto</t>
  </si>
  <si>
    <t>pava otra Canongía de la catedral de Palencia, vacante por muerte de ¿.Rafael Caballero Calderón, á D. Anselmo de Soto: para otra Canonjía de la catedral de Málaga, vacante por fallecimiento de D. Diego Sánchez Rando, á D. Salvador Casamayor: para otra Canongía de la misma catedral, vacante por mu</t>
  </si>
  <si>
    <t>no, á D. Juan Gómez de Robles: para una Ración de la catedral de Palencia, vacante por promoción de D. Anselmo de Soto á una Canongía de la misma catedral* á D. Manuel Machuca: para un Beneficio sito en el término de Porquera de Santullan, vacante por muerte de D. Juan Giiemes, á D. Ramón Braña y</t>
  </si>
  <si>
    <t>Anselmo Medrano, Juan</t>
  </si>
  <si>
    <t>Juan Anselmo Medrano</t>
  </si>
  <si>
    <t>strescuela de la metropolitana de Manila, vacante por muerte de Don Antonio Fernandez de Córdoba, á D. Juan Anselmo Medrano, Dignidad de Tesorero de la propia metropolitana: para esta resulta al Canónigo Doctoral de la misma D. Joseph Xavier de Torres; y para la Canongíá Dodtorai de la metropolitana dé</t>
  </si>
  <si>
    <t>Ansoategui, Joseph</t>
  </si>
  <si>
    <t>Joseph Ansoategui</t>
  </si>
  <si>
    <t>ndo Teniente de fusileros D. Esteban Mosti; y segundo Teniente de fusileros al Alférez de cazadores Don Joseph Ansoategui. JY primer Teniente en el de Reales Guardias Walonas al segundo Ayudante mayor, graduado de Teniente Coronel, Don Carlos Vanwerde.El Rey ha nombrado primer Ayudante del regimiento</t>
  </si>
  <si>
    <t>Antelo y Aguilar, Dionisio</t>
  </si>
  <si>
    <t>Dionisio Antelo y Aguilar</t>
  </si>
  <si>
    <t>os y granaderos I). Antonio Alcalá Galíano y D. Márcelo, Francisco Dávila, ,y al Teniente reformado D. Dionisio Antelo y Aguilar: la Subtenencia de granaderos en el de Chinchilla al Subteniente de fusileros D. Juan de Dios Carcelen; y las Subtenencias de bandera en los de Jaén, Avila, Ciudad-Real y Chinchil</t>
  </si>
  <si>
    <t>Antoine, Juan Bautista</t>
  </si>
  <si>
    <t>Juan Bautista Antoine</t>
  </si>
  <si>
    <t>Supl., p. 4</t>
  </si>
  <si>
    <t>la de D. Domingo de S. Alexandro : en Pamplona en la de la viuda de Tongas : en Alicante en casa de D. Juan Bautista Antoine y compañía : en Valladolid en la librería de la viuda de Santan-* der é hijos : en Burgos en la de Revilla : en Córdoba en la de Berard: en Granada en la de Polo y Castillo: en Oren</t>
  </si>
  <si>
    <t>Antón de Lazanta, Francisco Xavier</t>
  </si>
  <si>
    <t>Francisco Xavier Antón de Lazanta</t>
  </si>
  <si>
    <t>su cuenta tener un pasante. Los que aspiren á su obtención dirigirán sus memoriales al Sr. Alcalde D. Francisco Xavier Antón de Lazanta hasta el día 8 del presente mes de Diciembre. Medicina operatoria, ó nuevo tratado de las operaciones de cirugía, con láminas de los instrumentos de último uso : escrita en francé</t>
  </si>
  <si>
    <t>Antonia</t>
  </si>
  <si>
    <t>17 de junio de 1803</t>
  </si>
  <si>
    <t>te D. Joseph Marín Palenzuela, vecino de dicha ciudad de Almería , apoderado testamentario de dicha Doña Antonia, á percibir la parte de herencia que les corresponda; pues pasado dicho término pasará á darle el destino que le encargó. En la villa del Castillo de Garci-Muñoz, provincia de Man</t>
  </si>
  <si>
    <t>Antonia Agustina de Agramont</t>
  </si>
  <si>
    <t>28 de octubre de 1803</t>
  </si>
  <si>
    <t>o de 1801. La persona que fuese descendiente de' D. Isidro Martínez de Espinosa , marido que fué de Doña Antonia Agustina de Agramont, hija de Dona María del Castillo, acuda á D. Francisco de Aguilar y Romero, que vive calle del León , casa del cotillero, quien dará noticia de ciertos papeles que pueden ser muy</t>
  </si>
  <si>
    <t>Antonia Huete Merino</t>
  </si>
  <si>
    <t>de 30 dias ocurran á justificarlo ante el Juez Subdelegado de la villa de Igualada D. Joseph Coll. Doña Antonia Huete Merino, ya difunta, vecina que fué de la ciudad de Almería, dexó entre otros por sus herederos á Doña Max! mi liana Muñoz y Huete, su sobrina, y á un hijo de su sobrino D. Nicolás Muñoz</t>
  </si>
  <si>
    <t>Antonia, María</t>
  </si>
  <si>
    <t>María Antonia</t>
  </si>
  <si>
    <t>„PIabiendo resuelto el Rey, en celebridad del matrimonio del Príncipe Ntro. Sr. con la Senna. Sra. Doña María Antonia, Princesa de Ñapóles, conceder indulto general á Jos presos que se hallaren enMas cárceles de Madrid y d«mas del Rey no, que fueren capaces.de él: en los términos que se concedió</t>
  </si>
  <si>
    <t>motivo del matrimonio del Príncipe de Asturias núestro Señor con la Serma. Sra. Princesa de Nápoles Doña María Antonia* hija de los Reyes de las Dos Stcilias, mandó el Rey se vistiese la corte de gala por tres dias, que empezaron el lunes 18 del corriente con luminarías en sus tres noches. El prim</t>
  </si>
  <si>
    <t>Antonio Andrés</t>
  </si>
  <si>
    <t>ubtenientes de bandera á los Sargentos ,primeros de íps mismos querjpos 1)# jíermenegildQ Sánchez,y D. Antonio Andrés, este de" granaderos. . \; En el Real cuerpo de Artillería se ha dignado el Rey promover á Coronel al Teniente Coronel , graduado de Coronel, D. Felipe Crame. , ■ S. M. ha oonferj</t>
  </si>
  <si>
    <t>Antonio Joáquín</t>
  </si>
  <si>
    <t>por ascenso.de D. Juan Vicente Bernalá la Tesorería de la misma catedral, al Racionero de la propia D. Antonio Joáquín.Perez: para otra Canongía de merced de la catedral de Caracas, vacante por fallecimiento de D. Pedro Jesús Paredes, á D. Joseph Cortes y Madariaga, Canónigo de la catedral de Sant</t>
  </si>
  <si>
    <t>Antonio Martín</t>
  </si>
  <si>
    <t>27 de diciembre de 1803</t>
  </si>
  <si>
    <t>sales, de 7 fin. , cada una á 460 rs.; otra en la royuela de.dicha villa, á mediodía,.capellanía de D. Antonio Martin, de .3 fan., cada una á 800 rs. : otra en la referida villa, en el término de Agudin, camino de Valdetorres , de 5 "fan. , cada una á 550 rs.: otra en Valondo de la misma villa, d</t>
  </si>
  <si>
    <t>Antonio Ramón</t>
  </si>
  <si>
    <t>8 de noviembre de 1803</t>
  </si>
  <si>
    <t>. Manuel Virizuela: á Capitán segundo en el batallón de Voluntarios de Valencia al segundo Ayudante D. Antonio Ramón: á Ayudante del regimiento de infantería Suizo ambulante de Ruttiman al Teniente D. Juan Steinhauser; y á Capitán segundo en el de Courten al Teniente de granaderos. D. Joseph Joa</t>
  </si>
  <si>
    <t>Antonio Simón</t>
  </si>
  <si>
    <t>ero. ÍL M. I. ha nombrado Ayo del Príncipe Fernando, su hijo mayor y sucesor, á Antonio Simón , Secretario de la corte y censor de todas las obras que se publican en Viena. Los hombres ilustrados han celebrado que tan importante elección recayese en un sabio conocido, y que ya ha dirig</t>
  </si>
  <si>
    <t>Antonio Tomás</t>
  </si>
  <si>
    <t>18 de marzo de 1803</t>
  </si>
  <si>
    <t>r D- Antonio Zuazo: la del de la Princesa al Capitán del de Sevilla, graduado de Teniente Coronel, D. Antonio Tomas : la del de Extremadura al Capitán del de granaderos Voluntarios de Estado, graduado de Teniente Coronel, D. Domingo Larrjpa: las de los de Jaén y Voluntarios de Castilla á los Ca</t>
  </si>
  <si>
    <t>Antonio Xavier</t>
  </si>
  <si>
    <t>de la imprenta Real. A mediados de Enero próximo.pasado remitió Doña Josepha de Villar, de Cádiz, á D. Antonio Xavier y D. Ignacio de Uzcanga , vecinos de la villa de Deba, en la provincia de Guipúzcoa, 7 vales Reales de á 150 pesos, de Setiembre , con los números 150140, 151618, 151672, 15755o» 1638</t>
  </si>
  <si>
    <t>i68 Dona Josepha Villar, y en Deba á los referidos D, Antonio Xavier y D. Igaj* ció de Uzcanga. Disertación histórico-teológica sobre la antigüedad de los párrocos , por el limo. Sr. D. Juan Manuel de Arguelles, Obispo de Palencia: un tomo en 4.0 ¿ 20</t>
  </si>
  <si>
    <t>Antonio, Archiduque</t>
  </si>
  <si>
    <t>Archiduque Antonio</t>
  </si>
  <si>
    <t>cularizaciones , y accede á las disposiciones que pe han dado en este punto. S. M. L declara que el Archiduque Antonio renuncia formalmente y sin ninguna reserva á las elecciones de Colonia y de Munster; declarando ¡ademas que en punto á la ocupación de Passau ha dado todas las providencias para t</t>
  </si>
  <si>
    <t>21 de enero de 1803</t>
  </si>
  <si>
    <t>w^ncia del Emperador, del Gran Duque de Tcscana, y de los Archiduques y Archid,uquesas. S. A. R. el Archiduque Antonio ha tenido al recien nacido en la pila á nombre de $. A. R. él Archiduque Cárloj, á qtjien el estado de su salud no le permitió hallarse en un parage cerrado y entre un numeroso co</t>
  </si>
  <si>
    <t>ara Coadjutor del Gran Maestre de la orden Teutónica S. A. R. el Archiduque Cárlos, á su hermano el Archiduque Antonio. El 18 de este mes se supo en Viena el fallecimiento del Duque de Módena, en el día de Brisgaw, é inmediatamente se despachó un correo con la noticia á SS. MM. II. á Laxemburgo, c</t>
  </si>
  <si>
    <t>Antuñano, Nicolás</t>
  </si>
  <si>
    <t>Nicolás Antuñano</t>
  </si>
  <si>
    <t>27 de mayo de 1803</t>
  </si>
  <si>
    <t>les del Real cuerpo de Artillería E), Gerónimo Leoni, D. Josejúi Betegón, D. Joseph Montes Salazar, D. Nicolás Antuñano y D. Antonio Casano; á los del de Ingenieros D. Pedro Cortés y D. Francisco Villa</t>
  </si>
  <si>
    <t>na de Ñapóles, En el Real cuerpo de Artillería se ha dignado promover el Rey á Coronel al Brigadier D. Nicolás Antuñano, Teniente Coronel del propio cuerpo; á Tenfénte Coronel al Xefe de Brigada D. Luis Pesino, y á Xefe de Brigada al Capitán primero D. Alvaro Chacón. Por el Ministerio de Hacienda s</t>
  </si>
  <si>
    <t>Anzano, Tomás</t>
  </si>
  <si>
    <t>Tomás Anzano</t>
  </si>
  <si>
    <t>24 de junio de 1803</t>
  </si>
  <si>
    <t>ucida del francés al castellano de orden del supremo Consejo de Castilla por el Comisario ordenador D. Tomas Anzano, Tesorero que fué del cxército y reyno de Aragón , quien experimentando la.falta de pan en la primavera del año de 1789 ( principalmente en Castilla la Vieja , donde se hallaba de</t>
  </si>
  <si>
    <t>Aparicio y Crespo, Juan</t>
  </si>
  <si>
    <t>Juan Aparicio y Crespo</t>
  </si>
  <si>
    <t>16 de diciembre de 1803</t>
  </si>
  <si>
    <t>ecuerda, en la misma diócesis: para otra de la misma de Osma, vacante por muerte de D.Juan Simón, á D. Juan Aparicio y Crespo, Gura de la parroquial del lugar de Gasarejos , en la misma diócesis: para una Pabordía Penitenciaria de la catedral de Menorca , vacante por renuncia de D. Hilario Serrano, á D.</t>
  </si>
  <si>
    <t>Apostool</t>
  </si>
  <si>
    <t>el cerca del Paso. ' El gobierno, no obstante la guerra, mantiene en Londres al ciud. Apostool, su-Comisario general, ai qurd ie ha encargado el Consejo de Estado solicite del Almirantazgo británico que pongan en libertad los pescadores bátavos que están</t>
  </si>
  <si>
    <t>Apudo Muzquiz, Juan</t>
  </si>
  <si>
    <t>Juan Apudo Muzquiz</t>
  </si>
  <si>
    <t>ban, hacen tan recomendable su memoria como sensible su pérdida á quantos la trataban y conocían. * Don Juan Apudo Muzquiz remitió en '7 del mes'último á D, Joseph Francisca de Mendizabal, vecino de la ciudad de S. Sebastian, 20 vales de 150 pesos, 25 de goo,y 7 de 600,creación de i.° de Enero: número</t>
  </si>
  <si>
    <t>Aquilino Barbachano, Joseph</t>
  </si>
  <si>
    <t>Joseph Aquilino Barbachano</t>
  </si>
  <si>
    <t>de Gracia: á Subtenientes de granaderos en los de Avila, Santiago, Ecija y Jaén yá los de fusileros D. Joseph Aquilino Barbachano, D. Ramón Ribadulla, D. Manuel Vázquez y D. Antonio Barrionuevo; y ha nombrado Subtenientes de bandera dé los dé Sigüenza y Bujalance á D. Fernando Barbaza y D. Joseph Ximenez. En</t>
  </si>
  <si>
    <t>Aragoneses, Gregorio</t>
  </si>
  <si>
    <t>Gregorio Aragoneses</t>
  </si>
  <si>
    <t>laescusa, ámbos en la diócesis de Osma, vacantes pot fallecimiento de D. Manuel Romero Fernandez, á D. Gregorio Aragoneses: para otro de residencia de coro y altar de la catedral de Ibiza, vavante por promoción de D. Joseph Bufli á una Ración de la misma catedral, á D. Joseph Ferrer; y para la Obrería</t>
  </si>
  <si>
    <t>Aran, Juan</t>
  </si>
  <si>
    <t>Juan Aran</t>
  </si>
  <si>
    <t>Sres. Escuza, hermanos y compañía , carrera de S. Gerónimo; D. Andrés Alvarez, calle de S. Dámaso; D. Juan Aran, platería, calle de las Carretas, esquina á la de Majadeiritos; D. Joseph Basterra, postigo de S. Martin, lonja de Muñoz. En todos ellos hay un competente número de billetes para</t>
  </si>
  <si>
    <t>Aranda, Diego María</t>
  </si>
  <si>
    <t>Diego María Aranda</t>
  </si>
  <si>
    <t>bandera al Cadete D. Gabriel Albelda: en el de Mallorca también á Subtenientes de bandera al Cadete D. Diego María Aranda, y al Sargento primero de granaderos D. Francisco Hernández; yá Capitán primero en el batallón de Voluntarios de Valencia al Capitán segundo D. Fermín Joseph Baylin. En América. E</t>
  </si>
  <si>
    <t>Arcadió Parejo, Luis</t>
  </si>
  <si>
    <t>Luis Arcadió Parejo</t>
  </si>
  <si>
    <t>en fa Real casa de S. Carlos, con asistencia de varias personas de todas clases, presidiendo el Sr. D. Luis Arcadió Parejo, socio mas antiguo, fundador y Vicedirector, y dando principio á ella con un discurso en qife resumió las principales tareas de la*Sociedad en el año último , exhortando á su cont</t>
  </si>
  <si>
    <t>Archdale</t>
  </si>
  <si>
    <t>r i que la guerra se haga con vigor , como á que se concluya prontamente; y así apruebo el bilí.”__ Mr. Archdale dixo que no intentaba entrar en el exátnen del principio ni de las cláusulas del bilí, sino expresar meramente que no debe perderse un momento en ponerlo en execucion. El gobierno</t>
  </si>
  <si>
    <t>Arenas, Francisco</t>
  </si>
  <si>
    <t>Francisco Arenas</t>
  </si>
  <si>
    <t>ficado con otras ocho onzas de plata. ——El mismo de arquitectura á D. Joseph Pastor, y otro igual á D. Francisco Arenas._El único de grabado á D. Tomas Hidalgo y Morales de una medalla de plata de ocho onzas._El de primera clase de figuras de una me</t>
  </si>
  <si>
    <t>Arenas, Joseph</t>
  </si>
  <si>
    <t>Joseph Arenas</t>
  </si>
  <si>
    <t>Ortega; á Tenientes á los Alféreces D. Francisco Car- cer, D. Juan Manuel Marín, D. Manuel Garayo, D. Joseph Arenas,Don Joaquín Foruer , D. Pedro Alcántara Ruiz y D. Vicente Asco ; á Alféreces á los Portaguiones D. Juan Rondeau , D. Andrés Ordoñez y D. Fran- » cisco de Paula Castellanos , al Ca</t>
  </si>
  <si>
    <t>Argaiz y Aranguren, Pablo</t>
  </si>
  <si>
    <t>Pablo Argaiz y Aranguren</t>
  </si>
  <si>
    <t>14 de octubre de 1803</t>
  </si>
  <si>
    <t>t y Pavía, D. Antonio Isasi y Betevin, D. Antonio Casano y Dátoli, D. Mateo Chardenaux y Rodríguez, D. Pablo Argaiz y Aranguren, D. Pablo Ventades y Martínez, D. Agustín Salazar y Allendelagua, Don Juan Pusterla y Lerin, D. Pedro del Barco y la Cendeja, D. Francisco Saravia y Zuazo, D. Manuel Cebriaa y Cas</t>
  </si>
  <si>
    <t>Argentiy Leis, Antonio</t>
  </si>
  <si>
    <t>Antonio Argentiy Leis</t>
  </si>
  <si>
    <t>corte ; para la.d¡e. ia villa de Agramunt á D. xAntoni_o Madolell: para la de la ciudad, de Vique á D. Antonio Argentiy Leis; y para la de la de Balaguer á D. Antonio Joseph Galindo. En América. El Rey se lia servido nombrar para el Obispado &lt;ie Cebú, en las Islas Filipinas', vacante por renuncia de D.</t>
  </si>
  <si>
    <t>Arguelléis, Francisco</t>
  </si>
  <si>
    <t>Francisco Arguelléis</t>
  </si>
  <si>
    <t>Florencio Palacios; en el de Zamora al Sargento primero D. Manuel Santos; en el de •León al Cadete D. Francisco Arguelléis, y en el de la Princesa al Sargento primero D. Christóbal Docioy al Cadete D. Joseph Hermida y Mosquera. • • ........' í - ’ ; También en el regimiento de infantería de Soria se h</t>
  </si>
  <si>
    <t>Arias de Prada, Benito</t>
  </si>
  <si>
    <t>Benito Arias de Prada</t>
  </si>
  <si>
    <t>a que resulta vacante de Oidor de la misma Chancillería por esta jubilación se ha dignado nombrar á D. Benito Arias de Prada , de la Audiencia de Extremadura : para la que por dicha traslación resulta vacante en esta de la propia clase á D. Francisco Ibañez de Leyva, Oidor de la expresada Chanciilería;</t>
  </si>
  <si>
    <t>Arias Gonzalo de Mendoza y Francia</t>
  </si>
  <si>
    <t>nas letras de París, de Ja de historia de Madrid &amp;c. : traducido y adicionado considerablemente por Don Arias Gonzalo de Mendoza y Francia. En esta obra se encuentra quanto han e**</t>
  </si>
  <si>
    <t>Arias, Manuel</t>
  </si>
  <si>
    <t>Manuel Arias</t>
  </si>
  <si>
    <t>acios ; y atendiendo al zelo y aplicación con que se han distinguido en los exercicios los pasantes D. Manuel Arias y D. Francisco Leocadio Zazo , tuvo á bien el colegio hacer una demostración de afecto á favor de dichos dos sugetos , premiando ai primero con la excelente obra de D. Domingo Servido</t>
  </si>
  <si>
    <t>23 de diciembre de 1803</t>
  </si>
  <si>
    <t>e Don Francisco Xavier de Palomares, cuyos premios recibieron de mano del Protector Presidente. Y á D. Manuel Arias y D. Francisco Leocadio de Zazo, que también se han distinguido en los presentes exercicios, y que fuéron premiados el año. próximo pasado , se les dará certificación deí mérito que h</t>
  </si>
  <si>
    <t>Arístides Franklin y Anjoubault Mornay</t>
  </si>
  <si>
    <t>albayalde en Murcia, se ha dignado el Rey concederle el uso de las armas Reales para su fábrica. A D. Arístides Franklin y Anjoubault Mornay se ha servido el Rey concederle privilegio exclusivo por 9 años para que fabrique papel de pita, palmito, esparto y paja, habiendo de poner corriente en dos año* la manufactura, y</t>
  </si>
  <si>
    <t>Arlegui, Joseph María</t>
  </si>
  <si>
    <t>Joseph María Arlegui</t>
  </si>
  <si>
    <t>al Alférez O. Lorenzo Gutiérrez; á Alférez al Portaguión D. Joseph Jordán, y á Portaguión al Cadete D. Joseph María Arlegui. Por el Ministerio de Hacienda se ha comunicado con fecha de 21 de Agosto la Real orden siguiente : „E1 Rey quiere que el azúcar de la América española, quando sé extraiga en lo s</t>
  </si>
  <si>
    <t>Armendariz, Joseph</t>
  </si>
  <si>
    <t>Joseph Armendariz</t>
  </si>
  <si>
    <t>ropio cuerpo. S. M. ha nombrado Subtenientes del Real cuerpo de Ingenieros { D. Blas Manuel Teruel, D. Joseph Armendariz y D. Joseph María Dana, D. Antonio Retnon del Valle y D. Joseph Cortines, que lo eran de los regimientos de infantería de Granada, Mallorca, Príncipe y Voluntarios de°Castilla; á D. R</t>
  </si>
  <si>
    <t>Armengol, Manuel</t>
  </si>
  <si>
    <t>Manuel Armengol</t>
  </si>
  <si>
    <t>de Zaragoza al Capitán primero del batallón de Voluntarios de Gerona, graduado de Teniente Coronel, D. Manuel Armengol: la del de España al Capitán del de Zara-' goza, graduado de Coronel, D, Joseph Cruells: la del de Toledo al Ca-; pitan del de Mallorca, graduado de Teniente Coronel, D. Pedro Sae</t>
  </si>
  <si>
    <t>Arnault</t>
  </si>
  <si>
    <t>eunión de las ciencias, de las buenas letras y de las artes, justificada por el ciud. Arnault en un discurso que pronunció y se aplaudió, ha dado á este acto el mayor brillo, aumentado con numeroso concurso. Es bien conocida la manía de los ingleses en ha</t>
  </si>
  <si>
    <t>Arriaul, Francisco</t>
  </si>
  <si>
    <t>Francisco Arriaul</t>
  </si>
  <si>
    <t>9 de agosto de 1803</t>
  </si>
  <si>
    <t>aU-segundó Jal Téfii,eirte de obreros D. Agustín de la Vega, y á Teniente de obreros al SdbteUiéhte D. Francisco Arriaul ’ : '! 7 a Quien quisiere hacer postura á la villa despoblada de S. CHrislóbal de Matamoros, tierra:y parjtidó de la de Olmedo, bienes y efectos comprehendidps en su término, que</t>
  </si>
  <si>
    <t>Arroyo, Joseph</t>
  </si>
  <si>
    <t>Joseph Arroyo</t>
  </si>
  <si>
    <t>ón d.e afeytar. El que se halle cp disposición de manifestarse pretendiente acudirá en esta corte á D. Joseph Arroyo, primer dentista de los Reales hospitales, calle de Hortaleza, para su admisión en todo el corriente mes de Agosto# ó á la Justicia del referido pueblo de Cabanzon*</t>
  </si>
  <si>
    <t>Arroyo, Vicente</t>
  </si>
  <si>
    <t>Vicente Arroyo</t>
  </si>
  <si>
    <t>nongía de merced de la catedral de Buenos-Ayres, vacante por muerte de D. Antonio Pió de Aguiar , á D. Vicente Arroyo, Cura Rector de dicha catedral, y Examinador Sinodal del obispado. El Mercurio de España del mes de Agosto se hallará desde el Junes en el despacho de la imprenta Real; en el Real</t>
  </si>
  <si>
    <t>Arsac, Juan</t>
  </si>
  <si>
    <t>Juan Arsac</t>
  </si>
  <si>
    <t>o de Capitán, D. Juan de Meglioriny: en el de voluntarios de la Corona Tenencias á los Subtenientes D, Juan Arsac y D. Mariano Castelt en el primer batallón de voluntarios de Cataluña empleo do. segundo Capitán al segundo Ayudante Don Francisco Vehy; y en el de voluntarios de Navarra el de Capitá</t>
  </si>
  <si>
    <t>Arteaga, Antonio</t>
  </si>
  <si>
    <t>Antonio Arteaga</t>
  </si>
  <si>
    <t>ps ha promovido el Rey á Exento de número al Supernumerario Marques de Palacios; á Supernumerario á D. Antonio Arteaga; á Cadete de número á D. Tomas Despuig, y á Supernumerario al Guardia D. Joseph Pretel. También se ha servido S. M. conferir en el regimiento de infantería de Africa Subtenencia d</t>
  </si>
  <si>
    <t>encia al Subteniente de granaderos D: Antonio Navarro, y Subtenencia de bandera al Sargento primero D. Antonio Arteaga: en el de Valencia Compañía al Ayudante, graduado de Capitán, D. Diego Torrealba: en el de América Tenencias á los Subtenientes D. Santiago Cermeño, Don Vicente Carriola y D. Juan</t>
  </si>
  <si>
    <t>Arteaga, Francisco</t>
  </si>
  <si>
    <t>Francisco Arteaga</t>
  </si>
  <si>
    <t>detes de número á los supernumerarios D. Eugenio Ximeno y D. Antonio Barreyro, y á supernumerario á D. Francisco Arteaga-.y en la Compañía Flamenca del mismo Real cuerpo á Exento de número ál supernumerario D. Adrián Cardón, y á supernumerario al Cadete de esta clase D. &gt; Joaquín de la Cerda. En el r</t>
  </si>
  <si>
    <t>14 de junio de 1803</t>
  </si>
  <si>
    <t>eal cuerpo de Guardias de Corpa ha conferido el Rey el empleo de Cadete de numero al supernumerario D. Francisco Arteaga, y el de Supernumerario ai Guardia D. Juan Rodríguez. En el regimiento de Reales Guardias Españolas se ha servido promover el Rey á Comandante de batallón al Teniente General D. M</t>
  </si>
  <si>
    <t>Arthur Paget</t>
  </si>
  <si>
    <t>19 de julio de 1803</t>
  </si>
  <si>
    <t>buques de guerra, de qualquier nación que sean, en cada uno de nuestros puertos dei piar Adriático* Mr. Arthur Paget, Ministro de Inglaterra, ha celebrado el f de este mes, con mucha brillantez, el cumpleaños de su Soberano* Dio un banquete nacional á quantos ingleses se encontraban en Viena, en</t>
  </si>
  <si>
    <t>Artnur</t>
  </si>
  <si>
    <t>poca altura les exponga á ningún peligro. Debese la idea y execucion de ello al ciud. Artnur—Dillon. . . En una cantera de Montmartre, cerca de París, se ha extraído de entre un pedazo de yeso muy puro una parte de la mandíbula inferior de una especie</t>
  </si>
  <si>
    <t>Arzobispo de París, Cardenal</t>
  </si>
  <si>
    <t>Cardenal Arzobispo de París</t>
  </si>
  <si>
    <t>puso las birretas á los Cardenales. --- Concluida la misa fueron presentados al primer Cónsul, y el Cardenal Arzobispo de París pronunció el discurso siguiente: ,,Ciudadano primer Cónsul, el restablecimiento de la religión y de las relaciones espirituales que en todos tiempos han unido el imperio christian</t>
  </si>
  <si>
    <t>l Víctor ha transferido ayer su quartei general áDelft cerca de esta ciudad. París 2j de Junio. E 1 Cardenal Arzobispo de París, sus Vicarios generales y capítulo, varios empleados, xefes y oficiales, profesores de las escuelas y actores de varios teatros han hecho donativos al gobierno para el armamento c</t>
  </si>
  <si>
    <t>Arzobispo de Toledo, Cardenal</t>
  </si>
  <si>
    <t>Cardenal Arzobispo de Toledo</t>
  </si>
  <si>
    <t>5 de julio de 1803</t>
  </si>
  <si>
    <t>e que se establecía este en esta corte, se ha servido aprobar el F ty N.tro. Sr. y el Ejtnroo,. Sr. Cardenal Arzobispo de Toledo, inmediato y cignísirrp Prelado de ;este santo Hospital, y del que la Rcyna Ntia. Tra. se l a d;gnado constituirse su fundadora y protectora, y dichas Señoras sus .limevneras, tut</t>
  </si>
  <si>
    <t>acer de ellas lo que tengan por conveniente : circulares del Consejo de 7 de Octubre: carta del Sr. Cardenal Arzobispo de Toledo. En la parte literaria: noticia del viage que:van £ hacer los dos baxeles rusos la Esperanza y el Neva; de la vacuna como preservativo de la peste: del uso de las friegas de aceyt</t>
  </si>
  <si>
    <t>y D. Félix Amat, Arzobispo de Palmira y Abad de la Granja: siendo Consagrante el Emo. y Excmo. Sr. Cardenal Arzobispo de Toledo; y Asistentes los limos. Sres. D. Francisco dé la Cuerda y D. Atanasio Puyal y Poveda, Obispo de Caristo y Auxiliar de esta corte. Fué padrino del de Valladolid el Excmo. Sr.Marqu</t>
  </si>
  <si>
    <t>Asaillit, Joseph</t>
  </si>
  <si>
    <t>Joseph Asaillit</t>
  </si>
  <si>
    <t>de Estado Tenencia al Subteniente D. Joseph María Yoanis; y en el de Borbon Tenencia al Subteniente D. Joseph Asaillit. En América. £1 Rey $e ha servido nombrar para una Media-Raeion de la metropolitana de Santa Fe, vacante por ascenso de D. Juan Nepojmiceno Cabrera á una Ración de la misma, á D.</t>
  </si>
  <si>
    <t>Asensio, Francisco</t>
  </si>
  <si>
    <t>Francisco Asensio</t>
  </si>
  <si>
    <t>cio titulado Ración de la Plinojosa, en el obispado de Ciudad-Rodrigo, vacante por fallecimiento de D. Francisco Asensio, á D. Juan Luis Hernández; y para una de las diez Capellanías beneficíales de la iglesia y Real capilla de la Cruz de la ciudad de Náxera, diócesis de Calahorra, vacante, por muer</t>
  </si>
  <si>
    <t>Astley</t>
  </si>
  <si>
    <t>21 de octubre de 1803</t>
  </si>
  <si>
    <t>r, y lo siguieron los otros.----Hay pocos exemplos de tantas desgracias como ha padecido de repente Mr. Astley. Dos dias ántes había perdido á su madre, aquella noche perdió su caudal y su suegra de un modo tan desastrado, y su padre se halla prisionero en Francia. (2?#tracto del Times.) B</t>
  </si>
  <si>
    <t>Atanasío Pardo y Arce, Pedro</t>
  </si>
  <si>
    <t>Pedro Atanasío Pardo y Arce</t>
  </si>
  <si>
    <t>Salvador de la. metropolitana de Zaragoza, vacante por muerte de Don Andrés de Isasiia y Colarte, á D. Pedro Atanasío Pardo y Arce: parada Dignidad de Tesorero de la catedral de Segovia^Vacánté pór fallecimiento de D. Ramón Galamino, á D. Joseph de Azpeytia, Canónigo de la misma catedral: para una de las Cape</t>
  </si>
  <si>
    <t>Atanasio Puyal y Po</t>
  </si>
  <si>
    <t>el limo. Sr. D. Francisco Cuerda, Obispo que fue de Puerto-Rico, y los asistentes los limos. Sres. D. Atanasio Puyal y Po</t>
  </si>
  <si>
    <t>Atanasio Salazar</t>
  </si>
  <si>
    <t>Don Agustin Golomina: la del de la Corona al Capitán del de Zaragoza, graduado de Teniente Coronel, D. Atanasio Salazar: la del de Africa al Capitán del de Zamora D. Pedro Cortes: ía del de Zamora al Capitán del propio cuerpo, graduado de Teniente Coronel, D. Juan Ramón Marty: la del de Soria al Ca</t>
  </si>
  <si>
    <t>Atanasio y Arce, Pedro</t>
  </si>
  <si>
    <t>Pedro Atanasio y Arce</t>
  </si>
  <si>
    <t>rmuña, en aquella diócesis; y para una Ración de la catedral de Calahorra, vacante por promoción de D. Pedro Atanasio y Arce á la Dígnidadyie Arcediano mayor del Salvador de la metropolitana de Zaragoza, á D. Joseph Emeterio deTovar. ... El Banco nacional de S. Carlos continuará las. sesiones de la junt</t>
  </si>
  <si>
    <t>Atienza, Joseph</t>
  </si>
  <si>
    <t>Joseph Atienza</t>
  </si>
  <si>
    <t>ta lo mas sublime de la facultad, con muchas reglas nuevas y curiosas: su autor Joseph Atienza, natural de la villa de Tarazona y vecino de esta corte :un tomo en 4.0 Se vende enquadernado como los catones de Moles en la imprenta y librería de Blanques, calle de las Carretas. Su pre</t>
  </si>
  <si>
    <t>Auban</t>
  </si>
  <si>
    <t>d'establecida, sino como una cosa que merecía toda su atencion.^_Por otra parte, un Médico francés, Mr. Auban, residente en Constantinopla, que jamas había oido nombrar á Mr. Lafont ni sus observaciones, me escribió casi al mismo tiempo, sin citar hechos, que creía que los vacunados no er</t>
  </si>
  <si>
    <t>Aubert-Dubayet, General</t>
  </si>
  <si>
    <t>General Aubert-Dubayet</t>
  </si>
  <si>
    <t>xadas ordinarias marcha este Oficial de la Puerta á la derecha del Embaxador. ( En la audiencia del General Aubert-Dubayet se convino * que después del recibimiento se retinase y fuese solo por otrp camino; pero esía .vez ha ido delante del Embaxador, poniéndose al ladó'del primer Secretario.) El Emba</t>
  </si>
  <si>
    <t>Aubon</t>
  </si>
  <si>
    <t>tención de Vmd. y la de todo el mundo, y es un'nuevo descubrimiento hecho por dos Médicos, á saber: Mr. Aubon en Constantinopla, y Mr. Lafond en Salónica, ciudad de Macedonia. Los experimentos de estos dos Médicos, que jamas han tenido alguna relación entre sí, confirman que la vacuna prese</t>
  </si>
  <si>
    <t>Auckland, Lord</t>
  </si>
  <si>
    <t>Lord Auckland</t>
  </si>
  <si>
    <t>propuso se aplazasen los debates, lo que se aprobó. En la junta de la Cámara de los Pares del 24 el Lord Auckland propuso se comunícase á sus Señorías la correspondencia que ha mediado entre las Repúblicas francesa y americana sobre la Luisiana , igualmente que las órdenes y contraórdenes env</t>
  </si>
  <si>
    <t>Aucldand, Lord</t>
  </si>
  <si>
    <t>Lord Aucldand</t>
  </si>
  <si>
    <t>25 de marzo de 1803</t>
  </si>
  <si>
    <t>do determinada la suma que el banco puede suministrar al gobierno, no cabe sospecha de colusión. El Lord Aucldand apoyó la propuesta en la inteligencia de que era puramente política: replicó que estaba persuadido de hallarse su país en el mas brillante estado de prosperidad que la imaginación</t>
  </si>
  <si>
    <t>Augusto Broussonnet</t>
  </si>
  <si>
    <t>ección al arado, se propusiese el premio de 62) francos, que él los pagaría. El ciud. Augusto Broussonnet, que estuvo de Comisario de Relaciones comerciales en Canarias, lia sido nombrado Director del jardín botánico de Mompeller, nosoio con el encargo de enseñar l</t>
  </si>
  <si>
    <t>Augusto de Pelleport</t>
  </si>
  <si>
    <t>D. Manuel Ortiz: en el de Extremadura ¿Subteniente de bandera al Cadete de Reales Guardias Walonas D. Augusto de Pelleport: en el primer batallón de Voluntarios de Cataluña á Subteniente ai Cadete del citado Real cuerpo de Guardias Walonas D. Fernando Valdes Incian; y en el batallón de Voluntarios de</t>
  </si>
  <si>
    <t>Aupetit, Pedro Julián</t>
  </si>
  <si>
    <t>Pedro Julián Aupetit</t>
  </si>
  <si>
    <t>S. M. para el Corregimiento de letras de la» villas de Tarazona, Madrigueras y Quintanar del. Rey á D. Pedro Julián Aupetit: para el de las de Sisante y Vara de Rey á 0. Isidro Maciá s»</t>
  </si>
  <si>
    <t>Aured, Joseph</t>
  </si>
  <si>
    <t>Joseph Aured</t>
  </si>
  <si>
    <t>Rodrigálvarez al Arcedianato titular de la catedral de Cuenca, y la segunda, por fallecí miento de D. Joseph Aured, á D. Pedro Prado, Cura de la parroquia de Aldobera, en este arzobispado, y á D. Félix Zurbano y Quiñones, Penitenciario del convento de religiosas Agustinas de la Magdalena : par</t>
  </si>
  <si>
    <t>Aureliano Carabeo</t>
  </si>
  <si>
    <t>ncaly. S. M. se ha dignado nombrar en el batallón de infantería de Canarias á Subteniente al Cadete D. Aureliano Carabeo. En América. El Rey se ha servido promover en el batallón de Milicias disciplinadas de Blancos de Valles de Aragua á Capitanes á los Tenientes D. Fernando Tremaría, D. Joseph Anto</t>
  </si>
  <si>
    <t>Auxiliar, Obispo</t>
  </si>
  <si>
    <t>Obispo Auxiliar</t>
  </si>
  <si>
    <t>istro de la Junta general dé Comercio, Moneda y Minas. En America. S. M. se ha servido nombrar para Obispo Auxiliar de 1» catedral de Valladolíd-de Meehoacan, vacante por renuncia de D. Juafi Antonio de Tapia , Dean de la misma iglesia, á Fr. Benito de Mojo y dé Francoli, Dignidad de Obrero del Re</t>
  </si>
  <si>
    <t>Avart, Luis</t>
  </si>
  <si>
    <t>Luis Avart</t>
  </si>
  <si>
    <t>mas ; á segundo Teniente ai Subteniente de granaderos D. Juan.Renaud; á esta resulta al Subteniente D. Luis Avart; i esta al</t>
  </si>
  <si>
    <t>Avendaño, Juan Francisco</t>
  </si>
  <si>
    <t>Juan Francisco Avendaño</t>
  </si>
  <si>
    <t>ante por promoción de D. Miguel Alonso á una Canongía de "Cuenca, y por renuncia que ha hecho de él D. Juan Francisco Avendaño, á D. Manuel Salinas: para un Beneficio del Coto de Labio, en el arciprestazgo de Pravia de Allende, obispado de Oviedo, á D. Fabian López y González; y para otro de Santa Eulalia</t>
  </si>
  <si>
    <t>Aventuras de Telémaco</t>
  </si>
  <si>
    <t>,quien dará avisó de su recibo,y admitirá' á la que crea se; mas conveniente. 1 Aventuras de Telémaco, hijo de Ulises. Continuación del libro rv, de la Odisea de Homero, por el Arzobispo de Cambray; traducido del original francés: 2 tomos en 8.° con 1 2 estampas y un mapa de los viages</t>
  </si>
  <si>
    <t>s subscriptores á qualquiera de las dos ediciones de la nueva traducción de las Aventuras de Telémaco, hijo de Ulises, hecha por D.Fernando Nicolás de Re» bolleda, ó á la de solo el texto francés de la misma obra , acudirán á la librería de Gómez Fuentenebro y compañía, calle de las Car</t>
  </si>
  <si>
    <t>Avila, Antonio</t>
  </si>
  <si>
    <t>Antonio Avila</t>
  </si>
  <si>
    <t>l Real cuerpo de Guardias de Corps; y Subteniente del cuerpo Veterano ,de infantería de Maracaybo á D. Antonio Avila, Sargento primero distinguido de dicho cuerpo. . En el regimiento de dragones de Buenós-Ayres se ha servido S. M. promoverá Capitán al Ayudante D. Ambrosio Pinedo; á. Ayudante al</t>
  </si>
  <si>
    <t>Avila, Francisco</t>
  </si>
  <si>
    <t>Francisco Avila</t>
  </si>
  <si>
    <t>D. Pedro Uliate y D. Juan Estor; á Tenientes de granaderos á los de fusileros O. Joseph Malsonado y D. Francisco Avila; á Tenientes á los Subtenientes D. .Hilario Norma, D. Joseph Valdés yD. Pedro Madera, y.áíStibtenientés; de "bandera á los Cadetes ;D. Juan Córdoba y D. Luis -Lara , y ah Sargento</t>
  </si>
  <si>
    <t>Avila, Miguel</t>
  </si>
  <si>
    <t>Miguel Avila</t>
  </si>
  <si>
    <t>ientes ele bandera á los Cadetes D. Ignacio Urruh. itia y D. Joseph Carrero , y al Sargento primero D. Miguel Avila. Asimismo sé ha‘servido S. M. nombrar para la plaza de Regente de laReal Audiencia de Buenos-Ayres, vacante por promoción de D. Benito de la Mata-Linares á una plaza del Consejo d</t>
  </si>
  <si>
    <t>Aviles, Juan Pedro</t>
  </si>
  <si>
    <t>Juan Pedro Aviles</t>
  </si>
  <si>
    <t>Francisco Xavier García: para la de Granollers á D. Manuel Esteban Balmaseda: para la de Morella á D. Juan Pedro Aviles; y para la Vara de Alcalde mayor del Gobierno de la villa y partido de Alcántara, territorio de la misma orden, de primera clase o entrada, á D. Joseph Antonio Oscoz y Recarte. El</t>
  </si>
  <si>
    <t>Ayala, Ramón</t>
  </si>
  <si>
    <t>Ramón Ayala</t>
  </si>
  <si>
    <t>D. Pablo Sánchez, de granaderos , y D. Juan Escalona ; á Subteniente de granaderos al de fusileros Don Ramón Ayala; á Subteniente de compañía al Sargento primero D. Angel Gutierres , y á Subtenientes de bandera, á los Cadetes D. Joseph Antonio Urriera y D. Joseph Lorenzo Romana. Igualmente se</t>
  </si>
  <si>
    <t>Ayanz de Urretá, Ramón</t>
  </si>
  <si>
    <t>Ramón Ayanz de Urretá</t>
  </si>
  <si>
    <t>otro pueblo corto á inedia legua: los pretendientes, dirigirán sus memoriales á la dicha Justicia. Don Ramón Ayanz de Urretá, Capitán que fué de cabatlería, y se hallaba en esta por los años de 1769 ,á 70, se sabe haber fallecido, ignorándose en qué parte. La persona que tuviese algún crédito contra los</t>
  </si>
  <si>
    <t>Ayesa, Buenaventura</t>
  </si>
  <si>
    <t>Buenaventura Ayesa</t>
  </si>
  <si>
    <t>s Gineti; á Subtenientes á los de bandera D. Salvador de Valldejuli y D. Joseph Arnau , los Cadetes D. Buenaventura Ayesa y D. Manuel del Coro , y los Sargentos primeros de granaderos D. Laureano Vega y D. Lorenzo Bona, y á Subtenientes de bandera á los Cadetes D. Julián Padilla, D. Manuel Villaiba y D.</t>
  </si>
  <si>
    <t>Azara, Félix</t>
  </si>
  <si>
    <t>Félix Azara</t>
  </si>
  <si>
    <t>al original el discurso sobre la nomenclatura de estos animales , las adiciones de BufFon, y las de D. Félix Azara, que corrigen errores muy considerables sobre los quadrúpedos de América: lleva este tomo 5 estampas. Véndese en la librería de Castillo, frente á las gradas de S, Felipe, á 12 rs</t>
  </si>
  <si>
    <t>Baamonde, Francisco</t>
  </si>
  <si>
    <t>Francisco Baamonde</t>
  </si>
  <si>
    <t>o Peyrolon una canción en elogio de la Sociedad, remitida de Barcelona por el socio D. Pedro Pichó: D. Francisco Baamonde una epístola al mismo objeto : el P. Rafael del Angel Custodio una canción lírica contra el egoísmo ; y se concluyó con una oda en alabanza de la Sociedad, por su zelo.en promover</t>
  </si>
  <si>
    <t>Baamonde, Miguel</t>
  </si>
  <si>
    <t>Miguel Baamonde</t>
  </si>
  <si>
    <t>sulta vacante al Subteniente D. Felipe García Piulare , y una Subtenencia de bandera al Subteniente D. Miguel Baamonde, Cadete que era del mismo cuerpo. También se ha dignado S. M. conceder la compañía veterana fixa de infantería del presidio de S. Felipe de Bacalar al Capitán D. Joseph Nicolás Ro</t>
  </si>
  <si>
    <t>Bacon, Lord</t>
  </si>
  <si>
    <t>Lord Bacon</t>
  </si>
  <si>
    <t>on al verse amenazados de esta expedición, „ cuyos preparativos (para servirnos de las palabras del Lord Bacon) eran semejantes al víage de un elefante, sus provisiones inmensas, y su publicación el terror y admiración de la Europa/’ Si consideramos que entonces la. Inglaterra era inferior</t>
  </si>
  <si>
    <t>Badajoz y Amor, Antonio</t>
  </si>
  <si>
    <t>Antonio Badajoz y Amor</t>
  </si>
  <si>
    <t>idad de la catedral de Salamanca, y una Canongía de la misma catedral, vacante por fallecimiento de D. Antonio Badajoz y Amor, á D. Vicente de Gáceres y Godoy: para el Arciprestazgo de Poblaciones, en el obispado de Falencia, vacante por muerte de D. Ventura Gómez de Cosío, á D. Andrés Alonso de San Pedr</t>
  </si>
  <si>
    <t>Baeza, Joseph Fernando</t>
  </si>
  <si>
    <t>Joseph Fernando Baeza</t>
  </si>
  <si>
    <t>trescuela de la propia iglesia D. Francisco Xavier de Aldazabal: para, la Maestrescolía al Tesorero D. Joseph Fernando Baeza: para esta Tesorería al Canónigo D. Carlos Joseph Rodríguez y para la Canongía al Racionero D. Joseph NarcisoDongo. Asimismo se ha dignado nombrar para la Dignidad de Dean de la m</t>
  </si>
  <si>
    <t>Bahamonde, Francisco</t>
  </si>
  <si>
    <t>Francisco Bahamonde</t>
  </si>
  <si>
    <t>leyendo la relación histórica de este establecimiento desde el año 1S01 hasta su feliz terminación. Don Francisco Bahamonde, socio de número , recitó una canción en elogio de la Reyna Ntra. Sra., y el vice-secretario leyó una oda, remitida desde Barcelona, en alabanza de la sociedad, por el socio D. Pe</t>
  </si>
  <si>
    <t>Bahi</t>
  </si>
  <si>
    <t>27 de septiembre de 1803</t>
  </si>
  <si>
    <t>de Cirugía-Médica de Burgos, „Lo completo de estos elementos, á los quales precede una Memoria del Dr. Bahi sobre la importancia de la botánica, para el estado y medicina, y preferencia de los remedios vegetales sobre los del reyno, mineral; las instrucciones de D. Carlos de Gimbernat p</t>
  </si>
  <si>
    <t>Baiís, Benito</t>
  </si>
  <si>
    <t>Benito Baiís</t>
  </si>
  <si>
    <t>denominada de S. Fernando, calle de Alcalá, en'el quarto del Conserge. Elementos de Matemáticas de D. Benito Baiís , en 4.0 marquílla, tomo i.°, á 30 rs. en papel, 24 en rústica y 38 en pasta : a.° , 3.0, 4.0 y 5.0 á 21 rs. en papel, 25 en rústica y 29 en pasta : 6.° á 30 rs. en papel, 34 en r</t>
  </si>
  <si>
    <t>Balaguer, Antonio</t>
  </si>
  <si>
    <t>Antonio Balaguer</t>
  </si>
  <si>
    <t>l á D. Juan Nolla: para una Ración de la parroquial de la villa de Benabarre, diócesis de Lérida, á D. Antonio Balaguer; y para el Beneficio tercero, fundado en la capilla de Santa Anastasia de la catedral de Gerona, á D. Miguel Gerónimo Collado. S. M. ha conferido el empleo de Coronel del regimien</t>
  </si>
  <si>
    <t>Ballestar, Francisco</t>
  </si>
  <si>
    <t>Francisco Ballestar</t>
  </si>
  <si>
    <t>s: para otro de la parroquial de la vigila de Xerica, diócesis de Segorve, vacante por promoción de D. Francisco Ballestar á una Ración de la misma iglesia, á D. Joaquin Sonano: para otro de la de-Almoradí,, diócesis de Grihuela-, vacanre por fallecimiento de D. Francisco Xavier Sánchez, á D. Christób</t>
  </si>
  <si>
    <t>Ballester, Joseph</t>
  </si>
  <si>
    <t>Joseph Ballester</t>
  </si>
  <si>
    <t>ios de Aragón D. Joseph Abancens: jen el batallón de Voluntarios deGeronai. Teniente al Subteniente D. Joseph Ballester; y; en el citado «segundo batallón de Voluntarios de Aragón á Sargento mayor al Capitán primero, graduado de Teniente Coronel, D. Francisco Xavier Cornel. f También se ha servido</t>
  </si>
  <si>
    <t>Ballesteros, Diego</t>
  </si>
  <si>
    <t>Diego Ballesteros</t>
  </si>
  <si>
    <t>o de infantería de Navarra; D. Juan Nepomuceno Bernuy, Sargento mayor de la brigada de Carabineros; D. Diego Ballesteros, Capitán del mismo cuerpo, y D.T ornas Moreno, Teniente Coronel del de infantería de Soria. Ha concedido S. M. grados de Coronel de infantería á los Tenientes Coroneles de Artille</t>
  </si>
  <si>
    <t>Balmaseda, Manuel Esteban</t>
  </si>
  <si>
    <t>Manuel Esteban Balmaseda</t>
  </si>
  <si>
    <t>o Caro y Gini: para la de la ciudad de Lérida á D. Francisco Xavier García: para la de Granollers á D. Manuel Esteban Balmaseda: para la de Morella á D. Juan Pedro Aviles; y para la Vara de Alcalde mayor del Gobierno de la villa y partido de Alcántara, territorio de la misma orden, de primera clase o entra</t>
  </si>
  <si>
    <t>Baltasar Carlos Miñano</t>
  </si>
  <si>
    <t>ez Robles: para otro de Pesquera de Duero, en el obispado de Palencia, vacante por fallecimiento de D. Baltasar Carlos Miñano, á D. Juan García Perez: para el Arciprestazgo de Cebico de la Torre, en la misma diócesis de Palencia, vacante por muerte del citado Miñano, á D. Pedro Hornillos: para el Benefic</t>
  </si>
  <si>
    <t>Baltasar Zeberg</t>
  </si>
  <si>
    <t>al Teniente D. Fidel de Reding, y á Tenientes á los Subtenientes D. Joseph Kayser, de granaderos, y D. Baltasar Zeberg; y á Subteniente en el de Cour^en al Cadete D. Mauricio Gard. En el Real cuerpo de Artillería se ha dignado S. M. promover á Teniente,Coronel al Xefe de brigada D. Juan Calvo de l</t>
  </si>
  <si>
    <t>Balvina Lozano, Antonio</t>
  </si>
  <si>
    <t>Antonio Balvina Lozano</t>
  </si>
  <si>
    <t>15 de abril de 1803</t>
  </si>
  <si>
    <t>ía de Campo , calle de Alcalá. Compendio de la vida y virtudes de ia-Beafta María Ana de Jesús: por D. Antonio Balvina Lozano. Este*compendio , que eá ün resúmen de lo mas maravilloso y perfecto de esta heroína* dé Jesús, lleva al principio su estampa fina, y al fin lt novena y gozos dfc la misma» Beata.</t>
  </si>
  <si>
    <t>Bangematm-Huygen</t>
  </si>
  <si>
    <t>e haber calentado demasido las paylas. 0 - Copenhague ij de Mayo.. fdeLlnuestra ciud. Bangematm-Huygen , Ministro de la República bátava cerca corte , llegó aquí ayer,. En las actuales circunstancias en que la Europa se halla amenazada con una nueva guerra , el</t>
  </si>
  <si>
    <t>Bank</t>
  </si>
  <si>
    <t>e su duración hasta la tercera semana inclusivamente después de la abertura de la sesión inmediata. Mr. Bank.es. ,, El término que acaba de proponer el muy honorable miembro, me parece muy remoto. No por eso pretendo que el banco haya de comenzar al instante sus pagos en especie, ni que</t>
  </si>
  <si>
    <t>Bankes</t>
  </si>
  <si>
    <t>la suspensión. Mr. Prinsep habló en favor de la propuesta, y el Chanciller del Echiquier replicó á Mr. Bankes ,,que la información seria inútil, porque solo manifestarla lo que todos saben: que no puede fixarse al i.° de Mayo el término del bilí, porque eso ha fia pensar que el banco abrí</t>
  </si>
  <si>
    <t>Banks</t>
  </si>
  <si>
    <t>edad Real de Londres tuvo su junta el dia de S. Andrés según costumbre ; y fue reelegido Presidente Mr. Banks , y Secretarios Mrs. Planta y Gray. Uaya jo de Noviembre, E 1 caballero de Anduaga, Ministro del Rey de España en el Haya, pasará á residir á Londres en la misma calidad. El Conde</t>
  </si>
  <si>
    <t>Bano-Hangerty, Príncipe</t>
  </si>
  <si>
    <t>Príncipe Bano-Hangerty</t>
  </si>
  <si>
    <t>marse la ino-r cencía del Príncipe calumniado., Los principales ^autores-de semejante trama eran el Príncipe Bano-Hangerty, hermano .dei Hospodar de V*r laquia, que fué ahorcado , y el Príncipe. Suzzo , antes Ilospodar de Moldavia. El primero ha sido condenado á destierro en úna isla désierr ta del Ar</t>
  </si>
  <si>
    <t>Baños, Francisco</t>
  </si>
  <si>
    <t>Francisco Baños</t>
  </si>
  <si>
    <t>rvido nombrar para una Canongía Cardenalicia de la catedral de Orense, vacante por fallecimiento de D. Francisco Baños, á D. Juan García de Mena: para otra Canongía de la colegial del Salvador de la ciudad de Granada, vacante por muerte de D. Joseph MarinCa^ ballero, á D. Miguel Raygon y Díaz, Pro</t>
  </si>
  <si>
    <t>BaraHlon</t>
  </si>
  <si>
    <t>o nacional3 de Francia dnráñte el tercer trimestre del año x. Observaciones del ciud. BaraHlon sobre el arte del tejero-entre los Galos , y un resúmen de los viages del ciud. F»urel al continente de la Grecia islas dél Archipiélago y Egipto Inferior. En</t>
  </si>
  <si>
    <t>Barbaza, Fernando</t>
  </si>
  <si>
    <t>Fernando Barbaza</t>
  </si>
  <si>
    <t>ez y D. Antonio Barrionuevo; y ha nombrado Subtenientes de bandera dé los dé Sigüenza y Bujalance á D. Fernando Barbaza y D. Joseph Ximenez. En América. S. M. se ha servido nombrar para la plaza de Fiscal deí Crimen de la Audiencia de Lima, vacante por promoción de D. Josepk (jorvea y Vadillo á Regente</t>
  </si>
  <si>
    <t>o Bobadilla: á Subtenientes de granaderos en los de Sigiienza, Alcázar y Laredo, á los de fusileros D. Fernando Barbaza, D. Joseph Andrés Villaseñor y D. Joseph de Colina Víllanueva; y ha nombrado Subtenientes, de bandera en los de Jaén, Sigiienza, Burgos, Ecija, Bujalance, Plasencia'yXoria, á D. J</t>
  </si>
  <si>
    <t>Barbeyto, Benito</t>
  </si>
  <si>
    <t>Benito Barbeyto</t>
  </si>
  <si>
    <t>ados de la obra que . escribió el P. Fr. Manuel Guardiola y Rueda por «I Dr. D. Benito Barbeyto, presbítero, Memorial de la Baronesa de Batevílle, ó la viuda perfecta : obra escrita en francés por Madama de Befümon,y traducida por el Capitán D. Joseph García de Segovia: 2 tomos en 8.® S</t>
  </si>
  <si>
    <t>Barbington</t>
  </si>
  <si>
    <t>ion de comprehender en los impuestos á los extrangeros, y hubo en pro y en contra varios pareceres. Mr. Barbington habló en favor de las providencias proyectadas, y todas se adoptaron, difiriendo el examen de la que concierne árdas transacciones mercantiles___El Chanciller del Echiquier anunci</t>
  </si>
  <si>
    <t>Barbou, General</t>
  </si>
  <si>
    <t>General Barbou</t>
  </si>
  <si>
    <t>chos por varios pueblos de las cercanías de Zurich , á quienes de mi orden ha devuelto las armas el General Barbou. Tampoco se ocultará al conocimiento del gobierno helvético, que en las opiniones políticas de la mayor parte, del pueblo, influyen unos hombres que se han manifestado opuestos á</t>
  </si>
  <si>
    <t>Barbut, Coronel</t>
  </si>
  <si>
    <t>Coronel Barbut</t>
  </si>
  <si>
    <t>25 de octubre de 1803</t>
  </si>
  <si>
    <t>no se lian recibido noticias de la marcha del destacamento de Trincomala á las órdenes del Teniente Coronel Barbut. Con fecha de 31 de Agosto se ha remitido una carta circular al Lord Teniente del condado de Essex, en que se le dice que se han dado órdenes á la dirección de artillería, para qu</t>
  </si>
  <si>
    <t>ración. Las del mando del Mayor general Macdowell, unidas á un destacamento mandado por el Teniente Coronel Barbut, se apoderáron de Candía el 20 de Febrero último. El Rey de Candía y el primer Adigar huyérón con todo el tesoro á la provincia de Ouva ; y los habitantes viendo que su Soberano h</t>
  </si>
  <si>
    <t>Barcéló, Antonio</t>
  </si>
  <si>
    <t>Antonio Barcéló</t>
  </si>
  <si>
    <t>también en las mas principales de la corte, al mismo precio que la primera. ' Elogio del Excmo. Sr. D. Antonio Barcéló, con motivo de la expedición contra Argel: papel en 4.0 á 2 rs. Se hallará en la librería de. Villareal, callé de las Carretas. ' Tres trios escogidos de los mejores de Haydn, á d</t>
  </si>
  <si>
    <t>Bareto, Joseph</t>
  </si>
  <si>
    <t>Joseph Bareto</t>
  </si>
  <si>
    <t>eal cuerpo de Guardias de Corps se ha servido .el Rey promover á Exento de número al Supernumerario Don Joseph Bareto , y á Supernumerario al Cadete Duque de Ribas. S. M. se ha servido conferir la Sargentía mayor del regimiento de infantería suizo de Betschart al Capitán primero del mismo cuerpo</t>
  </si>
  <si>
    <t>Barguilla, Matías</t>
  </si>
  <si>
    <t>Matías Barguilla</t>
  </si>
  <si>
    <t>6 de diciembre de 1803</t>
  </si>
  <si>
    <t>e Ceuta á D. JuanTerres; á Capitán segundo de la de Mallorca á D. Manuel Seró; á Teniente de esta á D. Matías Barguilla, y á Subtenientes de la propia compañía á fot Sargentos D. Francisco Creuet y D. Joaquín Escandon. Habiéndose también dignado S. M. conferir Subtenencias en ios regimientos tercer</t>
  </si>
  <si>
    <t>Barham</t>
  </si>
  <si>
    <t>unstancias era una ofensa á S. A. el Duque de York, á quien se ha condado el mando del exército.__. Mr. Barham habló en el mismo sentido que el Coronel Crawford, censurando amargamente la conducta de los Ministros para con el Príncipe de Gales, cuyos servicios podían ser de grande utilidad</t>
  </si>
  <si>
    <t>Barón de Armendariz, Coronel</t>
  </si>
  <si>
    <t>Coronel Barón de Armendariz</t>
  </si>
  <si>
    <t>il Rey se ha servido conferir el empleo de Teniente Coronel del regimiento de Cazadores del Rey al Coronel Barón de Armendariz, Teniente Coronel agregado al de Húsares Españoles ; y el de Sargento mayor del de Húsares de Numancia al Teniente Coronel D. Manuel de li Cruz, Capitán del propio cuerpo. S. M. h</t>
  </si>
  <si>
    <t>Barón de Cederstron, Almirante</t>
  </si>
  <si>
    <t>Almirante Barón de Cederstron</t>
  </si>
  <si>
    <t>ar tan útil práctica entre nosotros. S.AÍ. ha ratificado ayer el. tratado de paz concluido entre el Almirante Barón de Cederstron y la: Regencia de Trípoli.. Viena 26 de Noviembre. 1 ' ?■ E 1 Príncipe Ipsilante, nuevo Hospodar de Valaquiallegó á.Bucharest; el. 24 de este mes ,. para tomar posesión de su nueva dig</t>
  </si>
  <si>
    <t>Barón Lagerbjelke, Almirante</t>
  </si>
  <si>
    <t>Almirante Barón Lagerbjelke</t>
  </si>
  <si>
    <t>426 do por el Almirante Barón Lagerbjelke. Este Consejo administrativo ocupa el lugar que tenia el anterior Consejo del .Almirantazgo , y está en la misma clase que los otros Colegios supremos del Réyno. El nuevo Consejo</t>
  </si>
  <si>
    <t>Barranquero, Juan Ignacio</t>
  </si>
  <si>
    <t>Juan Ignacio Barranquero</t>
  </si>
  <si>
    <t>'‘ " Documentos de chriátíaria y civil educación r escritos y publicados por D.-Juan Ignacio Barranquero, presbítero, impresos en Toledo el año de 1803. Se vende en la sacristía deh Carmen calzado á 3 rs. • - ¡ .. El quaderno 8.° de la Historia dé los naufragios se hallará en la librería nirevá</t>
  </si>
  <si>
    <t>Barras</t>
  </si>
  <si>
    <t>res de la guardia consular el mas decente alojamiento. Quatro mamelucos están hospedados en casa de Mr. Barras. Como este esquadro'n de la guardia consular es aquí un objeto de mucha curiosidad, no han podido evitarse algunas desazones. Antes de ayer se creyó uno de ellos insultado por un</t>
  </si>
  <si>
    <t>Barreda, Francisco</t>
  </si>
  <si>
    <t>Francisco Barreda</t>
  </si>
  <si>
    <t>n el Senado en alabanza del Príncipe Trajano Augusto, traducido del latin al castellano por el Lie. D. Francisco Barreda. Se hallarán en las librerías de Castillo , y de Cerro red de S. Lu’s. EN LA IMPRENTA REAL.</t>
  </si>
  <si>
    <t>ete D. Tomas Magrast: en el de Guadalaxara Subtenencia de bandera al Sargento primero de granaderos D. Francisco Barreda; y ha promovido en el batallón de Voluntarios de Tarragona á Capitán segundo al Ayudante segundo D. Marco Aurelio Monti: en el de Gerona también á Capitán segundo al Teniente D. J</t>
  </si>
  <si>
    <t>Barrena, Francisco</t>
  </si>
  <si>
    <t>Francisco Barrena</t>
  </si>
  <si>
    <t>e Madrid á "Vitoria se han desaparecido 3 vales Reales de i.° de Enero, vecíen renovados á favor de D. Francisco Barrena , uno de-600 pesos, número §70878; otro de 3oq pesos, núm. 137954, y el tercero de i 5-0 pesos',' número -322200 : el sugeto en cuyo poder se hallen podrá remitirlos á la oficina</t>
  </si>
  <si>
    <t>Barrera, Agustín</t>
  </si>
  <si>
    <t>Agustín Barrera</t>
  </si>
  <si>
    <t>medio de este aviso para que qualesquiera persona que quiera pretenderlo dirija su memorial al Lie. D. Agustín Barrera y‘Monsalbe^ Asistente de aquella villa y Presidente de su Ayuntamiento, expresando su domicilio, edad, estado, instrucciones y demas circunstancias que hagan su idoneidad para servi</t>
  </si>
  <si>
    <t>Barrientos y Cueva, Joseph</t>
  </si>
  <si>
    <t>Joseph Barrientos y Cueva</t>
  </si>
  <si>
    <t>Mayo de 1791. -V - - - - — ■■■ - - — A ~m Si hubiere algún acreedor á quien debiese alguna cantidad D. Joseph Barrientos y Cueva, Capitán de Fragata de la Real armada en. el departamento de Cartagena , que murió 1.5 años ha poco mas ó ménos, acuda con instrumento competente por sí ó por apoderado á su herma</t>
  </si>
  <si>
    <t>Barrientos, Diego</t>
  </si>
  <si>
    <t>Diego Barrientos</t>
  </si>
  <si>
    <t>r de 10 rs.: Francisco Narvaez, Sebastian Montero1, Juan Cardoso, Joseph García, D. Manuel Ortega , D. Diego Barrientos, Christóbal Aranda, Salvador Espino y Francisco Ruiz,de la de D. Juan, Francisco Palomino , Miguel Bores , Antonio Galban, Christóbal Pastrana, Joseph María Martin, D. Juan Antoni</t>
  </si>
  <si>
    <t>Barrientos, Gregorio</t>
  </si>
  <si>
    <t>Gregorio Barrientos</t>
  </si>
  <si>
    <t>strumento competente por sí ó por apoderado á su hermana Doña María de Barrientes y Cueva, viuda de D. Gregorio Barrientos, vecina de Osuna, quien tiene en su poder 7$ rs. para dicho efecto ; y si dicha Sra. hubiere fallecido quando se presente algún acreedor , dexa dispuesto en su testamento quien ha</t>
  </si>
  <si>
    <t>Barrientos, Pedro</t>
  </si>
  <si>
    <t>Pedro Barrientos</t>
  </si>
  <si>
    <t>ique Rodríguez , médico titular de esta villa, dio principio á la operación de la vacuna, y después D. Pedro Barrientos, cirujano de la misma, en el 11 de Julio de 1802 y hasta el mes de Octubre del citado año se vacunáron 360 , desde la infancia hasta la edad de 40 años , sin haberse notado en nin</t>
  </si>
  <si>
    <t>Barrionuevo, Fernando María</t>
  </si>
  <si>
    <t>Fernando María Barrionuevo</t>
  </si>
  <si>
    <t>territorio de la orden de Santiago, en el Reyno de Murcia, de primera clase y de nueva creación, á.D. Fernando María Barrionuevo. Los tenedores de Vales dinero de la Caxa de Conso-lidacion de i„® de Enero de 1802. que hasta ahora no hayan acudido á renovarlos ó percibir su importe en metálico, k&gt; veriñearán</t>
  </si>
  <si>
    <t>Barruchi, Alexandro</t>
  </si>
  <si>
    <t>Alexandro Barruchi</t>
  </si>
  <si>
    <t>e la villa de la Armuña, diócesis de Toledo, vacante por fallecimiento de D. Juan García Baraona, á D. Alexandro Barruchi, con retención de la demas renta eclesiástica que goza. ’ Se lian extraviado en fá Villa Centellas, corregimiento dé Vique, en el principado de Cataluña, quátro vales'Reales, de á</t>
  </si>
  <si>
    <t>Barthelemi</t>
  </si>
  <si>
    <t>Helvecia. ‘ El gobierno de Francia ha nombrado una comisión de 4 Senadores, los ciudadanos Barthelemi, Desmeuniers, Roederer y Fouclié para conferenciar con los diputados, recibir y disqnirir sus observaciones y sus pía-nes. Todos deben reunirse en casa del Min</t>
  </si>
  <si>
    <t>s notician que nuestros diputados se juutáYon el 25 de Enero, presididos por el ciud. Barthelemi* quien les anunció tener que comunicarles de parte del primer Cónsul dos actas de mediación;-más para ello convenía que se dividiesen en dos secciones: la una</t>
  </si>
  <si>
    <t>minó la audiencia. El lunes 21 asistieron los mismos á la audiencia , en que el ciud. Barthelemi presentó al primer Cónsul los 47 diputados suizos que quedaban en Paris,habiendo partido los demas. El ciud. de Alfry,Landaínman de la Suiza, habló en estos té</t>
  </si>
  <si>
    <t>Barthelemy</t>
  </si>
  <si>
    <t>vidualmente, ó por diputación, ó de otro modo qualquiera.”__ Después de esto el ciud. Barthelemy manifestó que el primer Cónsul quería recibir una diputación de 5 individuos de la Consulta , que había de nombrar ei; Ministro helvético en París , con la cir</t>
  </si>
  <si>
    <t>Barthelemy Devaux</t>
  </si>
  <si>
    <t>er caído una piedra de 7 libras y 6 onzas el. dia. 8 de Octubre en una viña del ciud. Barthelemy Devaux, situada á la parte septentrional de la ciudad de.Apt, á un quarto de legua de distancia del territorio de Saurete; de cuya caída hay testigos de vista, como c</t>
  </si>
  <si>
    <t>Bartroii, Joseph</t>
  </si>
  <si>
    <t>Joseph Bartroii</t>
  </si>
  <si>
    <t>eal cuerpo de Artillería; y para una Ración de la metropolitana dreTarragona, vacante por muerte de D. Joseph Bartroii, i D. Guillermo Rocabrune y Brias. ' ^ El dia 27 de Mayo último entró en el puerto de la Coruña, viniente de Montevideo, de donde salió el 5 de Marzo, la corbeta correo de la Real</t>
  </si>
  <si>
    <t>Barutell, Juan Antonio</t>
  </si>
  <si>
    <t>Juan Antonio Barutell</t>
  </si>
  <si>
    <t>Jtóiguel Matheós; y en el batallón de Voluntarios de Valenda á Capitán primero al Capitán segundo D. Juan Antonio Barutell, y á Subteniente de bandera al Cadete D. Lorenzo Malfeyto. lin América. El Rey se ha dignado conceder el empleo de Teniente de Rey y Cabo Subalterno de la plaza de Cartagena de In</t>
  </si>
  <si>
    <t>Bascuel, Juan</t>
  </si>
  <si>
    <t>Juan Bascuel</t>
  </si>
  <si>
    <t>o que fué de la ciudad de Zaragoza, y se cree que fué natural del Reyno de Aragón, se presentarán á D. Juan Bascuel, Procurador del Real seminario sacerdotal de’S. Cárlos de Zaragoza, quien los dirigirá adonde se instruyan de un derecho que les pertenece. Descubrimiento y conquista de Ja Améric</t>
  </si>
  <si>
    <t>Bastard, Coronel</t>
  </si>
  <si>
    <t>Coronel Bastard</t>
  </si>
  <si>
    <t>a indignos de la confianza de la Cámara, y que son incapaces de manejar los negocios del pais.__ El Coronel Bastard piensa que los Ministros entráron en un tiempo muy crítico, y que por el descontento del pueblo se vieron obligados á la paz: que su conducta lía sido laudable: que la guerra es f</t>
  </si>
  <si>
    <t>r proporción entre los soldados y los marineros, y propuso que se aumentasen aquellos hasta 20®. El Coronel Bastard dixo que el servicio de marina era el favorito dei país: que él preferiría aumentar esrte cuerpo haciéndolo servir en tierra y mar. El Secretario de la Guerra expuso que bastaban</t>
  </si>
  <si>
    <t>plan, y que deseaba se süspén-’ diese toda discusión sobre los puntos' particulares que contiene,El Coronel Bastard desaprobó lo que Mr. VY indham habla discurrido con-, tra la milicia,que dice es la fuerza verdaderamente constitucional, ,y queha hecho grandes servicios en muchas ocasiones*-^ El C</t>
  </si>
  <si>
    <t>Basterra, Joseph</t>
  </si>
  <si>
    <t>Joseph Basterra</t>
  </si>
  <si>
    <t>z, calle de S. Dámaso; D. Juan Aran, platería, calle de las Carretas, esquina á la de Majadeiritos; D. Joseph Basterra, postigo de S. Martin, lonja de Muñoz. En todos ellos hay un competente número de billetes para repartir á los sugetos que quieran interesarse, esperándose de este vecindario y de</t>
  </si>
  <si>
    <t>Bastos, Juan</t>
  </si>
  <si>
    <t>Juan Bastos</t>
  </si>
  <si>
    <t>es D. Cárlos Buil y D. Pedro Lechuga, y Alféreces al Cadete D. Francisco Mayorga, al dé igual clase D. Juan Bastos y al Sargento primero D* Juan Ruiz: en el de húsares de Numancia Compañía al Ayudante may or D. Joseph'López ; para el empleo que este dexá al 1 ementé; graduado de Capitán, D. Feli</t>
  </si>
  <si>
    <t>Batista, Pedro</t>
  </si>
  <si>
    <t>Pedro Batista</t>
  </si>
  <si>
    <t>Varona; á Capitanes á los Subtenientes D. Agustin de Velasco, de granaderos, D. Serapio de Varona, D. Pedro Batista y D. Ramón Gelabert, y á Subteniente de granaderos al de fusileros D. Domingo de Pina. También ha conferido S. M. ios empleos de Capitán, Teniente, Subteniente y Alférez de la compañí</t>
  </si>
  <si>
    <t>Batlló, Agustin</t>
  </si>
  <si>
    <t>Agustin Batlló</t>
  </si>
  <si>
    <t>Mencionado en una relación militar de individuos, procedencia, parentesco o haberes.</t>
  </si>
  <si>
    <t>Relaciones militares y haberes</t>
  </si>
  <si>
    <t>Supl., p. 1</t>
  </si>
  <si>
    <t>de Sebastian y de Mariana Circb, j natural de Cherch en Cataluña, de- 701. 2.d Agustin Batlló....... ] pendiente del Corregim.ío de PuigL cerda. Murió en 26 de Agosto de 97. pHijo de Juan de Pedro y de Antonia") ' , a j Gay , natural de Tosas en Cataluña, f 360. ir /[• ♦ » « Grau Gay } dependiente del Corregimie</t>
  </si>
  <si>
    <t>Bauche</t>
  </si>
  <si>
    <t>nes sobre la navegación á las Indias orientales por el norte de la Europa, escritas, la primera por Mr. Bauche, de la Academia de Ciencias de Paris, y la segunda por el Capitán de Fragata de la Real Armada D. Ciriaco de Cevailos. Se hallara en la librería de Aguilera, calle de Relatores, á</t>
  </si>
  <si>
    <t>Baudin, Capitán</t>
  </si>
  <si>
    <t>Capitán Baudin</t>
  </si>
  <si>
    <t>29 de julio de 1803</t>
  </si>
  <si>
    <t>a de llegar al Havre la corbeta Naturalista, expedida de Puerto Jakson, en la Nueva-Holanda, por el Capitán Baudin, Comandante de la expedición destinada á hacer descubrimientos al rededor del mundo. Trae una de las mas preciosas colecciones de historia natural que han venido jamas á Europa. L</t>
  </si>
  <si>
    <t>Bavastro, Capitán</t>
  </si>
  <si>
    <t>Capitán Bavastro</t>
  </si>
  <si>
    <t>de su corsario asaltan el buque enemigo , y se hacen dueños de él inmediatamente.-—El tercero es ei Capitán Bavastro, que mandaba el corsario el Intrépido, de Niza, de 4 cañones, y se apoderó el 23 de Agosto por dos abordages sucesivos de dos corsarios ingleses, el uno de 14 y el otro de 16'caño</t>
  </si>
  <si>
    <t>Baxá y los Ministros, Capitán</t>
  </si>
  <si>
    <t>Capitán Baxá y los Ministros</t>
  </si>
  <si>
    <t>sir le había hecho un regalo igual á la salida de la audiencia del 14 de Febrero. El Gran Visir, el Capitán Baxá y los Ministros saludáron al paso al Embaxador con muestras de la mayor amistad. Habiéndose formado de nuevo la comitiva, se puso en marcha hacia la escala de Tchiardak. Parecía que todo el puebl</t>
  </si>
  <si>
    <t>Baxi, Capitán</t>
  </si>
  <si>
    <t>Capitán Baxi</t>
  </si>
  <si>
    <t>plaza. El armamento que se preparaba en nuestro puerto se ha concluido con la mayor celeridad, y el Capitán Baxi ha salido con su esquadra compuesta de 8 navios de línea, 12 fragatas y muchos buques menores, llevando á su bordo un cuerpo numeroso de tropas de desembarco. Petersburgo // de Ju</t>
  </si>
  <si>
    <t>Bayon y Girón, Nicolás</t>
  </si>
  <si>
    <t>Nicolás Bayon y Girón</t>
  </si>
  <si>
    <t>catedral de Zamora, vacante por promoción de D. Ignacio Nótario al Deanato de la misma catedral, a D. Nicolás Bayon y Girón : pava otra Canongía de la catedral de Palencia, vacante por muerte de ¿.Rafael Caballero Calderón, á D. Anselmo de Soto: para otra Canonjía de la catedral de Málaga, vacante por</t>
  </si>
  <si>
    <t>Bayot, Antonio</t>
  </si>
  <si>
    <t>Antonio Bayot</t>
  </si>
  <si>
    <t>los de fusileros D, Antonio Ortega y D. Joseph Aristizabal , y á Subtenientes de bandera al Cadete D. Antonio Bayot y al Saigento primero D. Pedro Quirds. El Key^ se ha servido conferir el empleo de Capitán del cuerpo veterano de infantería de Cumaná al Ayudante mayor del prepio cuerpo D. Francis</t>
  </si>
  <si>
    <t>Bayot, Joseph</t>
  </si>
  <si>
    <t>Joseph Bayot</t>
  </si>
  <si>
    <t>añía á los de bandera D. Placido Duro y D. Joseph Juan Suarez, y á Subteniente de bandera al Cadete D. Joseph Bayot. Para que el publico pueda ver las preciosidades que posee la Real Academia de las tres Nobles Artes, denominada de S. Fernando, estarán abiertas las salas del quarto principal de</t>
  </si>
  <si>
    <t>Beatriz, María (princesa)</t>
  </si>
  <si>
    <t>Princesa María Beatriz</t>
  </si>
  <si>
    <t>la Archiduquesa María Beatriz,en cuyo nombre las tuvieron en la pila el Príncipe Cárlos Félix, y la Princesa María Beatriz. Con tan pla’usible motivo se hicieron regalos espléndidos, y se repartieron quaiir liosas limosnas. Genova 24 de Setiembre. / E scriben de Civitavecchia, que el dia 10 del corrie</t>
  </si>
  <si>
    <t>Becerril y Valero, Manuel</t>
  </si>
  <si>
    <t>Manuel Becerril y Valero</t>
  </si>
  <si>
    <t>a el de la villa de Onteniente á D. Gerónimo Servent: para la Alcaidía mayor de la ciudad de Jaca 2 D. Manuel Becerril y Valero: para la de Ciudad-Real á D. Valentín Melendo: para la de Cartagena á D. Manuel Saiz de Villegas: para una de las Varas de la ciudad de Zaragoza á D. Antonio Caro y Gini: para la</t>
  </si>
  <si>
    <t>Bedout, Almirante</t>
  </si>
  <si>
    <t>Almirante Bedout</t>
  </si>
  <si>
    <t>19 de agosto de 1803</t>
  </si>
  <si>
    <t>se estaba esperando, ha lleoado con felicidad. Se compone de s navios de línea al mando del Contra-Almirante Bedout. La fragata Dido, expedida de la Guadalupe, ha llegado al mismo tiempo. Continúan las contribuciones voluntarias para el armamento contra la Inglaterra, y el departamento del Sena</t>
  </si>
  <si>
    <t>Beívitges, Joseph</t>
  </si>
  <si>
    <t>Joseph Beívitges</t>
  </si>
  <si>
    <t>dernos sueltos á 4§ rs. t Diccionario catalan-castellano-latino : por los Drés. D. Joaquín Este ve, Don Joseph Beívitges y D. Antonio Juglá : tomo i.° : el 2.°-y,último se está impri-: m iendo. Se hallará en la7 librería ¡de Quiroga , cálle'de las (jarretas , y en Barcelona en la de la viuda de’Pía. ; ■</t>
  </si>
  <si>
    <t>Belicumini</t>
  </si>
  <si>
    <t>e la Dieta helvética, Mr. de Mar-sburgo, Ministro plenipotenciario del Landgrave de Hesse-Cassel, y Mr. Belicumini en calidad de diputado extraordinario de la República de-Lúea. El Consejero de Estado Bruix, Almirante de la esquadrilla nacional, ha escrito al Ministro de la Marina lo siguiente:</t>
  </si>
  <si>
    <t>Belle, Capitán</t>
  </si>
  <si>
    <t>Capitán Belle</t>
  </si>
  <si>
    <t>30 de agosto de 1803</t>
  </si>
  <si>
    <t>destino. Lorient 1.° de Agosto. H a entrado hoy en este puerto el corsario la Carolina, de Burdeos, Capitán Belle , con 5. buques que ha apresado á los ingleses , á saber: el Felipe , procedente de Liorna para Londres; la Resolución, de Malta; la Industria, de Sta. Cruz ; la Aventura, de la T</t>
  </si>
  <si>
    <t>Belliard, General</t>
  </si>
  <si>
    <t>General Belliard</t>
  </si>
  <si>
    <t>ica bátava que han llegado aquí últimamente , y permanecerán hasta que se vaya el primer Cónsul. El General Belliard ha ido á Maldeghem para disponer los preparativos necesarios á la entrada del primer Cónsul en el departamento dei Escalda , adonde el Prefecto y las primeras autoridades del depa</t>
  </si>
  <si>
    <t>Bellit, Gerónimo</t>
  </si>
  <si>
    <t>Gerónimo Bellit</t>
  </si>
  <si>
    <t>ara la Canongía Doctoral de la catedral de Solsona, vacanfe por fallecimiento de D. Manuel Roxas, á D. Gerónimo Bellit: para la Canongía de la catedral de Guadix, vacante por promoción de D. Gabriel López Lorca á la Dignidad de Tesorero de la propia catedral, á Don Miguel Salido Granados: para el</t>
  </si>
  <si>
    <t>Belorado, Carlos</t>
  </si>
  <si>
    <t>Carlos Belorado</t>
  </si>
  <si>
    <t>el mismo cuerpo á los Cadetes de los regimientos de Reales Guardias de infantería Española y Walona D. Cárlos Belorado y D. Joseph de Canterac. El Rey ha conferido el Corregimiento de la ciudad de Manresa al Coronel D. Francisco Godony: el Gobierno de la plaza de la Seo de Urgel ai Teniente Coronel D.</t>
  </si>
  <si>
    <t>Beltran, Alexandro Bernardo</t>
  </si>
  <si>
    <t>Alexandro Bernardo Beltran</t>
  </si>
  <si>
    <t>el Beneficio servidero de la villa de Pozo Alcon, en la diócesis de Toledo, vacante por renuncia de D. Alexandro Bernardo Beltran, á D. Juan Antonio Segura: para otro Beneficio de Castro y Espejo, vacante en ei obispado de Córdoba por fallecimiento de D. Juan Antonio del Peral, á D. Gabriel Girón y Coca, con</t>
  </si>
  <si>
    <t>Benavides, Antonio</t>
  </si>
  <si>
    <t>Antonio Benavides</t>
  </si>
  <si>
    <t>arro: á los de Ingenieros D. Juan Casanova y D. Antonio Jacot; y á ios Sargentos mayores de brigada D. Antonio Benavides y D. Mariano Fernandez de Folgueras. De Teniente Coronel, también de infantería, , al Xefe de brigada de Artillería D. Luis Pesino; á los Sargentos mayores D. Joseph García Pa-r redes</t>
  </si>
  <si>
    <t>Bencomo, Santiago</t>
  </si>
  <si>
    <t>Santiago Bencomo</t>
  </si>
  <si>
    <t>oto, á D. Manuel de Bardaxi: para la Ración de la santa iglesia de Toledo, vacante por promoción de D. Santiago Bencomo á una Canongía de la catedral de Canaria, á D. Mateo Coronado y Anchuelo: para otra de la misma iglesia metropolitana, vacante por fallecimiento de D. Tomas Aguado, á D. Rafael Re</t>
  </si>
  <si>
    <t>Benitez, Manuel</t>
  </si>
  <si>
    <t>Manuel Benitez</t>
  </si>
  <si>
    <t>do de Gapitan , D. Joseph Pió de Hore; y á Ayudante ai Teniente de granaderos, graduado de Capitán, D. Manuel Benitez: en el de España á Subteniente de bandera al Teniente dél de milicias de Xerez D. Mariano Velez: en el de Mallorca á Capitanes al Teniente,graduado de Capitán, D. Joseph Fernandez</t>
  </si>
  <si>
    <t>Benítez, Sebastián</t>
  </si>
  <si>
    <t>Sebastián Benítez</t>
  </si>
  <si>
    <t>o de Ciudad-Real, en la misma diócesis de Toledo, vacante por muerte de D. Pedro Ignacio Larburu, á D. Sebastian Benítez. No habiendo tenido efecto el nombramiento que hizo S. M. por decreto de i.° de Mayo de este año, en D. Leonardo deUrruchi, para una Ración de la colegial de Valpuesta, en el arzo</t>
  </si>
  <si>
    <t>Ber, Diego</t>
  </si>
  <si>
    <t>Diego Ber</t>
  </si>
  <si>
    <t>imiento, de infantería iixo de Nueva España ha, servido el Rey promover á Capitanes á los Ayudantes D. Diego Ber.zafeaby Dv Joseph-Fernandez; á Ayudantes á los Tenientes de granaderos D. Pedro Uliate y D. Juan Estor; á Tenientes de granaderos á los de fusileros O. Joseph Malsonado y D. Franc</t>
  </si>
  <si>
    <t>Berasueta, Joseph Ignacio</t>
  </si>
  <si>
    <t>Joseph Ignacio Berasueta</t>
  </si>
  <si>
    <t>ngeles, en ei Reyno de Nueva-España, vacante por muerte de D. Juan Nepomuceno Domínguez y Aguado, á D. Joseph Ignacio Berasueta, Abogado de los Reales Consejos. Aunque en ei último arancel de salida se prohíbe la extracción del aceyte del Reyno quando exceda su precio de 36 rs. la arroba: no se deroga por</t>
  </si>
  <si>
    <t>Beremann</t>
  </si>
  <si>
    <t>la carestía es tan excesiva, que una libra.de harina cuesta 15 copeks (unos 24 quartos de España). Mr. Beremann, de la Livonia , inventor de un método fácil de inoculación, por cuyo medio ha conservado la vida á 8© niños en el espacio de 30 años, ha recibido del Emperador una medalla de oro</t>
  </si>
  <si>
    <t>Berenguer, Felipe</t>
  </si>
  <si>
    <t>Felipe Berenguer</t>
  </si>
  <si>
    <t>l regimiento de infantería Inmemorial del Rey el empleo de Sargento mayor al Capitán del de Navarra D. Felipe Berenguer: en el de Africa Tenencia al Subreniente D. Vicente Acento: en el de Granada el, empleo de Sargento mayor al Capitán del de la Princesa D. Joseph Castañeda: en el de Irlanda el de</t>
  </si>
  <si>
    <t>Berenguer, Juan Antonio</t>
  </si>
  <si>
    <t>Juan Antonio Berenguer</t>
  </si>
  <si>
    <t>Veza con 7 votos, y obtuvo 2 votos D. V ícente García de Burunda: el quarto premio de mano y pie á D. Juan Antonio Berenguer. El concurso fué muy lucido, y todos quedaron complacidos al ver ios progresos que hat:ia este estudio tan útil.á toda clase de personas. Madrid 29 de Julio. E n el Real cuerpo de</t>
  </si>
  <si>
    <t>Berinudez, Jacinto</t>
  </si>
  <si>
    <t>Jacinto Berinudez</t>
  </si>
  <si>
    <t>bre y 3 del presente, de las que resultaba que de la clase de gramática , que regenta interinamente D. Jacinto Berinudez, habían salido 8 jóvenes para íilosofía en este curso: 66 niños de la de primeras letras, á cargo del maestro D. Juan Rodríguez, los 41 para gramática, 16 para oficios, y q para l</t>
  </si>
  <si>
    <t>Bermudez de Castro, Joseph</t>
  </si>
  <si>
    <t>Joseph Bermudez de Castro</t>
  </si>
  <si>
    <t>ronel, D. Joseph Duran: la del de Mallorca ai Teniente Coronel del de Málaga, gradíiado de Coronel, D. Joseph Bermudez de Castro: la del de Burgos*al Comandante del tercer- batallón del de Córdoba, graduado de Coronel, D. Joseph Alvarez Campana: la del de Murcia al del propio cuerpo D. Antonio Cornide: la a</t>
  </si>
  <si>
    <t>Bernabé Barrera, Juan</t>
  </si>
  <si>
    <t>Juan Bernabé Barrera</t>
  </si>
  <si>
    <t>3 de mayo de 1803</t>
  </si>
  <si>
    <t>artin de la villa de Arjona, en la diócesis de Jaén, vacante por muerte de D. Juan Miguel Sierra, á D. Juan Bernabé Barrera; y para el Beneficio simple de la parroquia de Alhama, en la diócesis de Cartagena, vacante por fallecimiento de D. Francisco de Paula Sanguineto, á D. Domingo de Iribe, con la ob</t>
  </si>
  <si>
    <t>Bernabé Palomino, Juan</t>
  </si>
  <si>
    <t>Juan Bernabé Palomino</t>
  </si>
  <si>
    <t>ro alegórico de la fundación de esta Real Academia , pintado por Don Antonio González , grabada por D. Juan Bernabé Palomino, en 15 rs.22= Vista Descalzas, id.222:Vista de la cárcel de corte , id.222:Vista del puente de Toledo, id. =2Estampas de retratos de Pablo de Céspedes,D. Diego Velazquez de Silva,</t>
  </si>
  <si>
    <t>Bernad, Joseph</t>
  </si>
  <si>
    <t>Joseph Bernad</t>
  </si>
  <si>
    <t>e Carriola y D. Juan TJgartemendia: en el de Extremadura Compañía al Ayudante, graduado de Capitán, D. Joseph Bernad; y en el de</t>
  </si>
  <si>
    <t>Bernál Bejaránoy, Juan Vicente</t>
  </si>
  <si>
    <t>Juan Vicente Bernál Bejaránoy</t>
  </si>
  <si>
    <t>ta Dignidad ¿1 Maestrescuela D. Juan de Dios de Olmedo y Araciel; para la Maestrescolía al Tesorero D. Juan Vicente Bernál Bejaránoy y paira la Tesorería al Canónigo Lectoral Di Joseph de España y Villéla. Asimismo se ha servido S. M. nombrar para una plaza-de Alcalde del" Crimen de la Audiencia de México ¿ vacan</t>
  </si>
  <si>
    <t>Bernal y Arriaga, Basilio</t>
  </si>
  <si>
    <t>Basilio Bernal y Arriaga</t>
  </si>
  <si>
    <t>JJórgos, vacante por fallecimiento de D. Basilio Bernal y Arriaga, á Don francisco Pauün y Castañares, con retención de la Canongía que obtiene en la misma colegial: para una Ración de la colegial de Valpuesta, en el arzobispado de Burgos, vacan</t>
  </si>
  <si>
    <t>Bernal, Francisco Joseph</t>
  </si>
  <si>
    <t>Francisco Joseph Bernal</t>
  </si>
  <si>
    <t>s de pólvora y naypes de Nueva España á D. Joseph Manuel Várela, Contador de ellas: la Contaduría á D. Francisco Joseph Bernal, Contador de las Caxas de Valladolid de Mechoacan: esta resulta á D. Nicolás Quilti de Valois, que servia igual destino en las de Pachaca; y esta última á D. Félix Bourman. Por el</t>
  </si>
  <si>
    <t>Bernalá la Tesorería, Juan Vicente</t>
  </si>
  <si>
    <t>Juan Vicente Bernalá la Tesorería</t>
  </si>
  <si>
    <t>las: para una Canongía Magistral de la catedral de lá Puebla.de los Angeles, vacante por ascenso.de D. Juan Vicente Bernalá la Tesorería de la misma catedral, al Racionero de la propia D. Antonio Joáquín.Perez: para otra Canongía de merced de la catedral de Caracas, vacante por fallecimiento de D. Pedro Jesús Paredes, á</t>
  </si>
  <si>
    <t>Bernardino del Pozo</t>
  </si>
  <si>
    <t>, graduado de Capitán, D. Francisco Pastor: en el de Astúrias Tenencia al Subteniente de granaderos D. Bernardino del Pozo: en el de Navarra Subtenencia de bandera al Cadete D. Antonio</t>
  </si>
  <si>
    <t>Bernardo Juan</t>
  </si>
  <si>
    <t>* nencias en el de Borbon al Teniente, graduado de Capitán, D. Blas de Eournas, ai Sargento primero D. Bernardo Juan y al Cadete D. Angel Ffoguer. £1 Rey se ha servido promover á Ayudante del regimiento de cazado* res de Pavía á D. Miguel Ruiz, Teniente del propio cuerpo. En América. El Rey se ha</t>
  </si>
  <si>
    <t>Bernedo, Domingo</t>
  </si>
  <si>
    <t>Domingo Bernedo</t>
  </si>
  <si>
    <t>a, vacante por promoción de D. Joaquín Xavier de Uriz al Priorato del monasterio de Roncesvalles, á D. Domingo Bernedo: para la Canongía de la Metropolitana de Santiago, vacante por fallecimiento de D. Jorge Cisneros, á D. Pedro de Silva: para otra dé la catedral de Xerona, vacante por renuncia qu</t>
  </si>
  <si>
    <t>Bernuy, Juan Nepomuceno</t>
  </si>
  <si>
    <t>Juan Nepomuceno Bernuy</t>
  </si>
  <si>
    <t>roel; á D. Rafael Martinengo, Coronel del regimiento de infantería de Navarra; D. Juan Nepomuceno Bernuy, Sargento mayor de la brigada de Carabineros; D. Diego Ballesteros, Capitán del mismo cuerpo, y D.T ornas Moreno, Teniente Coronel del de infantería de Soria. Ha concedido S. M. g</t>
  </si>
  <si>
    <t>Berreta, Ramón</t>
  </si>
  <si>
    <t>Ramón Berreta</t>
  </si>
  <si>
    <t>sistieron en otros tantos ejemplares de la obra de D. Quixote en pasta ; á saber , los 3 primeros á D. Ramón Berreta , D. Juan Hermoso y D. Santiago Martínez de Heredia como mas sobresalientes: el 4.0 y 5.0 á D. Francisco Perez de Arce y D. Antonio del Campo; y el 6.° se sorteo entre D. Manuel M</t>
  </si>
  <si>
    <t>Bertendona, Juan</t>
  </si>
  <si>
    <t>Juan Bertendona</t>
  </si>
  <si>
    <t>darte D. Leandro Quirós, y Portaestandartes al Cadete D. Antonio Laso de la Vega, al de igual clase D. Juan Bertendona y al Sargento primero distinguido D. Juan Vázquez: en el de Santiago Sargentía mayor al Capitán, graduado de Teniente Coronel; D. Nicolás Pastor; Compañía al Ayudante, graduado de C</t>
  </si>
  <si>
    <t>Berthier, General</t>
  </si>
  <si>
    <t>General Berthier</t>
  </si>
  <si>
    <t>es de varias plazas. Escriben de este puerto, con fecha.del-11, que el General en xefe Mortier y el General Berthier, habían llegado allí aquella mañana acompañadqs de muchos oficiales franceses, y que habían reconocido la situación de la ciu'dád y de sus inmediaciones. También dicen, que 7 frag</t>
  </si>
  <si>
    <t>han muerto de hambre. Hamburgo 7 de Noviembre. A ates de ayer se acordó el préstamo, pedido por el General Berthier</t>
  </si>
  <si>
    <t>Bertier, General</t>
  </si>
  <si>
    <t>General Bertier</t>
  </si>
  <si>
    <t>ón del país , 6 por la religión del Soberano. llamburgo 9 de Julio. E 1 General en xefe Morder y el General Bertier y su muger han venido como viageros meramente .por ver esta ciudad. La capitulación de Lauenburgo se va cumpliendo con exactitud. Ya han vuelto á pasar el Elba para restituirse á su</t>
  </si>
  <si>
    <t>Bertóllet</t>
  </si>
  <si>
    <t>las diversas variaciones de la brúxiila én la atmósfera , se hail resuelto los ciudadanos Biot y Bertóllet á elevarse muchas veces en un globo aerostática para verificarlas. El ciud. Vauqüelih está .encargado de hacer la análisis déla piedra atmosférica que cayó en</t>
  </si>
  <si>
    <t>Bertrán, Luis</t>
  </si>
  <si>
    <t>Luis Bertrán</t>
  </si>
  <si>
    <t>ados de Tenientes Coroneles, D. Pedro Labastida, D. Joseph Imaz, D. Antonio Moya, D. Antonio Luxan, D. Luis Bertrán, D. Nicolás Darcourt, D. Francisco de Corts, D. Cárlos Fitzgerald, D. Juan Brikdale, D. Juan O-Donovan, D. Juan Ponce de León , D. Antonio Lechuga y D. Joseph O-Donell: las de los</t>
  </si>
  <si>
    <t>Bespard, Coronel</t>
  </si>
  <si>
    <t>Coronel Bespard</t>
  </si>
  <si>
    <t>meipenning, Embaxador bátavo cerca de nuestra corte, ha llegado aquí ayer. La gran conspiración del Coronel Bespard se ha reducido á que quiso seducir á algunos soldados, y procuro excitarlos á formar un motín. En la sesión del 3 de este mes el Conde de Moira dixo que mucho tiempo antes habia a</t>
  </si>
  <si>
    <t>Bey, Capitán</t>
  </si>
  <si>
    <t>Capitán Bey</t>
  </si>
  <si>
    <t>Alexandría, y al Capitán Bey, Comandante dé las fuerzas marítimas oto. manas. Después de los cumplidos de uso, y de algunas palabras lisonjeras para la Sublime Puerta, les anuncié que los agentes del comercio</t>
  </si>
  <si>
    <t>Beyer</t>
  </si>
  <si>
    <t>os del Colegio, en presencia de los Ministros , de varios Generales, y de los parientes y amigos de Mr. Beyer* :A1 mismo tiempo el Ministro de Estado Barón de Hardenberg , le en*^ tregó uña carta de S. M. Prusiana, en la qual se congratula en los térsninos mas expresivos por los servicios</t>
  </si>
  <si>
    <t>Beza, Joseph</t>
  </si>
  <si>
    <t>Joseph Beza</t>
  </si>
  <si>
    <t>aduado deCapitan, D. Filomeno de la Torre : en el de! Granada Tenencia al Subteniente de granaderos D. Joseph Beza: en el de Asninas Tenencia al Subteniente de granaderos f&gt;. Miguel Buergo: en el de Extremadura Subtenencia de banderá al Sargento primero de granaderos D. Juan. Muñoz: en el de M</t>
  </si>
  <si>
    <t>Bickerton, Almirante</t>
  </si>
  <si>
    <t>Almirante Bickerton</t>
  </si>
  <si>
    <t>l mismo puerto una fragata y dos bricks que venian de Sm¡rna, y escaparon de la esquadra del Contra-Almirante Bickerton, que cruzando en aquellas aguas se hizo mar afuera por un temporal. Todavía no han tomado las tropas francesas posesión de nuestros fuertes; pero-se cree siempre que lo harán.__ S</t>
  </si>
  <si>
    <t>Biempica y Sotomayor, Salvador</t>
  </si>
  <si>
    <t>Salvador Biempica y Sotomayor</t>
  </si>
  <si>
    <t>ey se ha servido nombrar para el Obispado de la Puebla de ló$ Angeles, vacante por fallecimiento de D. Salvador Biempica y Sotomayor, al Arcediano de dicha santa iglesia D. Manuel Ignacio González del Campillo. • El Banco nacional de S. Carlos continuará las sesiones de la Junta general el sábado 14 de este pre</t>
  </si>
  <si>
    <t>Bignon</t>
  </si>
  <si>
    <t>n extraordinaria del primer Cónsul cerca de nuestra corte, después de hablar al ciud. Bignon, Encargado de negocios de la República francesa, fué á casa del primer Mir •nistro Conde de Haugwitz, que lo recibió con la mayor distinción. (Múy pronto dicen</t>
  </si>
  <si>
    <t>erno y el de Hannóver, sin que pueda saberse el objeto de las negociaciones. El ciud. Bignon, Encargado de Negocios de Francia, ha tenido muchas conferencias con el Ministro de Estado Conde de Haugwitz, y generalmente se cree que son relativas á la ocu</t>
  </si>
  <si>
    <t>Binoham</t>
  </si>
  <si>
    <t>Lívingston, Ministro plenipotenciario de los Estados-Unidos de América, presentó al primer Cónsul á Mr. Binoham, antiguo Senador del Congreso de dichos Estados. La presentación de Damas extrangeras á Madama Bonaparte , que se acostumbra cada mes, se hizo en Saint-Cloud el 9 del corriente. L</t>
  </si>
  <si>
    <t>Biot</t>
  </si>
  <si>
    <t>Bonaparte se ha llevado de Brujas una muchacha,, encargándose de su suerte. El ciud. Biot ha,dado cuenta al Instituto del viage que ha hecho por orden del gobierno al departamento del Orne, relativamente ai metéoro observado en las cercanías de Laig</t>
  </si>
  <si>
    <t>8 que nunca se ha hecho hasta ahora en iguales casos con los Embajadores de Holanda. . . Dícese que Mr. Biot está componiendo una obra sobre los metéoros ígneos* y particularmente sobre la caída de las piedras atmosféricas. Sus observaciones le lian guiado á formar una opinión que sin duda</t>
  </si>
  <si>
    <t>Biul, Joseph</t>
  </si>
  <si>
    <t>Joseph Biul</t>
  </si>
  <si>
    <t>Miguel de los Navarros de la ciudad de Zaragoza, vacante por fallecimiento de D. Nicolás Velarde, á Don Joseph Biul: para otro de la villa de Valls, diócesis de Tarragona, vacante por muerte de D. Juan Miró, á D. Juan Mas y Gabaldá; y para otro de la parroquia de Sarreal, en la misma diócesis d</t>
  </si>
  <si>
    <t>Blake, Agustin</t>
  </si>
  <si>
    <t>Agustin Blake</t>
  </si>
  <si>
    <t>Saenz: la del de Mallorca al Capitán del de Voluntarios de la Corona, graduado de Teniente Coronel, D. Agustin Blake: la del de Burgos al Capitán, del de Sevilla, graduado de Teniente Coronel, D. Antonio Fermín Perez: la del de Murcia ai Capitán del de Córdoba, graduado de Teniente Coronel, D. S</t>
  </si>
  <si>
    <t>Blanc, Alberto</t>
  </si>
  <si>
    <t>Alberto Blanc</t>
  </si>
  <si>
    <t>'Madrid &lt;T de Setiembre. E 1 Rey se ha servido nombrar para un Beneficio de la catedral de Lérida á D. Alberto Blanc; y para otro de la parroquia de Olot, diócesis de Gerona, á D. Joseph Matas y Prats. El Rey se ha servido~conferir én el regimiento de infantería de Sevilla •Subtenencia de bander</t>
  </si>
  <si>
    <t>Blanco González, Joseph</t>
  </si>
  <si>
    <t>Joseph Blanco González</t>
  </si>
  <si>
    <t>20 de mayo de 1803</t>
  </si>
  <si>
    <t>nfantería de Zaragoza al Sargento mayor del de infantería de Granada, graduado de Teniente Coronel, D. Joseph Blanco González. En América. El Rey se ha servido nombrar para una Media-Ración de la iglesia de la Havana, vacante por renuncia de D. Gregorio Ramírez Calvo, á D. Joseph María de Reyna, Catedrát</t>
  </si>
  <si>
    <t>Blanco Ilernáez, Manuel</t>
  </si>
  <si>
    <t>Manuel Blanco Ilernáez</t>
  </si>
  <si>
    <t>zgo de Canales, en la , diócesis de Burgos, vacante por fallecimiento de D. Miguel Perez Casabal, á D. Manuel Blanco Ilernáez: para una Canongía de la metropolitana de Toledo, vacante por muerte de D. Andrés de León, á D. Joseph de Viu: para la Ración que este dexará en la propia metropolitana á Don Ferm</t>
  </si>
  <si>
    <t>Blanco y Dv Adrián Blanco, Manuel</t>
  </si>
  <si>
    <t>Manuel Blanco y Dv Adrián Blanco</t>
  </si>
  <si>
    <t>* ¿ Tenientes los Subtenientes D. Pedro Manuel de Pineda, de granaderos, D. Juan Joseph Vallenilla, D. Manuel Blanco y Dv Adrián Blanco; i Subteniente de granaderos al de fusileros D. Cornelia Blanco; á Subtenientes de fusileros y de bandera al Cadete D;BUs del Cantillo, á Dort Alexandro Tovar, D, Joseph Antonio d</t>
  </si>
  <si>
    <t>Blantyre, Lord</t>
  </si>
  <si>
    <t>Lord Blantyre</t>
  </si>
  <si>
    <t>nte vestido, igualmente que su comitiva, quienes excitáron toda la atención de los espectadores. El Lord Blantyre y el Coronel Stewat estuvieron sentados en el mismo palco. ./ Las noticias trqidas por el navio el Infatigable de la esquadra que está delante |de Brest, contienen haberse observado ü</t>
  </si>
  <si>
    <t>Blasco, Máximo Antonio</t>
  </si>
  <si>
    <t>Máximo Antonio Blasco</t>
  </si>
  <si>
    <t>e Verulainio: Veritas.....a lumine naturae et experientiae petenda est &amp;c. Es autor de esta memoria D. Máximo Antonio Blasco, Médico en Alicante, quien describe en ella el catarro epidémico que se observó en España en los meses de Noviembre y Diciembre de 1801 y Enero de 1802.— La Academia ofrece para o</t>
  </si>
  <si>
    <t>Blazqúez, Manuel</t>
  </si>
  <si>
    <t>Manuel Blazqúez</t>
  </si>
  <si>
    <t>joyas, en las;platearías; D. Antonio Goycochea,calle de Fuencarral, esquina á la de las lívfantas; D. Manuel Blazqúez, platería frente á Sto. Tomas; viuda de Gil, hijos y sobrino, calle Imperial; D. Elias Ranz, librero,calle de la Cruz; D. Francisco María López Morelle, plazuela de Antón Martin;</t>
  </si>
  <si>
    <t>Blenheim, Lord</t>
  </si>
  <si>
    <t>Lord Blenheim</t>
  </si>
  <si>
    <t>dra que los conduxo, se componia de un navio de línea, una fragata, dos bricques y dos corbetas. El Lord Blenheim, Ayudante del General Stewart, tuvo el 25 de? mes pasado audiencia del Reis-Euendi, en ia que expuso el encargo que trahía de su General, para interceder con la Puerta en tavor de</t>
  </si>
  <si>
    <t>Bloys-Van-Frenslong</t>
  </si>
  <si>
    <t>a mejor disposición en Surinam, Berbice, Curazao, San Eustaquio y S. Martin. El ciud. Bloys-Van-Frenslong, Gobernador de</t>
  </si>
  <si>
    <t>Blucher, General</t>
  </si>
  <si>
    <t>General Blucher</t>
  </si>
  <si>
    <t>tphalia, plenamente confiado en Ja seguridad que el General en xefe del exército francés ha dado ai General Blucher, de que no habrá por parte de sus tropas la menor violación del territorio prusiano. No es menos satisfactoria la declaración que Mr. Laforest, nuevo Embaxador de la República fra</t>
  </si>
  <si>
    <t>Blumeiubach</t>
  </si>
  <si>
    <t>leto de fisiología , es-la única de ésta especie qüe se halk-jfcrar) ducida al español. Su autor el Dr. Blumeiubach , catedrático. de medicina en la línk!. versidad de Gottinga, es uno de los médicos mas célebres de, la Eúrop3, conocido., por sus varias producciones de literatura médica. Se "ha</t>
  </si>
  <si>
    <t>Bmnetti, Juan</t>
  </si>
  <si>
    <t>Juan Bmnetti</t>
  </si>
  <si>
    <t>s personas Reales. Retrato de la Serma. Sra. Princesa de Astúrias, nuevamente grabado de perfil por D. Juan Bmnetti del dibuxo original de D. Antonio Carnicero, Pintor de Cámara de S. M. Se hallará en la librería de Escribano, calle de las Carretas, á 6 rs. sueltos, y a 5 toda la colección. EN LA I</t>
  </si>
  <si>
    <t>Boada de las Costas, Pedro</t>
  </si>
  <si>
    <t>Pedro Boada de las Costas</t>
  </si>
  <si>
    <t>á la Práctica universal forense de los tribunales de España y América, que escribió el mismo autor D. Pedro Boada de las Costas, Alcalde del crimen de la Real Audiencia de Barcelona &amp;c. En la librería de Dávila,calle de las Carretas, se hallan las obras de música siguientes*. 6 sonatinas fáciles para forte</t>
  </si>
  <si>
    <t>Bodega, Ramón</t>
  </si>
  <si>
    <t>Ramón Bodega</t>
  </si>
  <si>
    <t>ue Sosvilla, el segundo á D. Francisco. Velarde, y el tercero á D. Manuel Agudo, D. Ramón Estrada y.D. Ramón Bodega. El numeroso y lucido concurso que asistió á este acto, presidido por el tribunal consular, quedó muy satisfecho de la aplicación y aprovechamiento que han manifes-r tado los alum</t>
  </si>
  <si>
    <t>Bodet, Joseph</t>
  </si>
  <si>
    <t>Joseph Bodet</t>
  </si>
  <si>
    <t>Irlanda al Capitañ del de IJltonia D. Miguel Commins: la del de Navarra al Capitán del de Asturias D. Joseph Bodet: la del de Hibernia al Capitán del de Irlanda Eugenio Macrohon; la del de Ultonia al Capitán del de Hibernia, graduado de Coronel, D. Pedro O-Daly: la del de Aragón al Capitán del</t>
  </si>
  <si>
    <t>Boeckmann</t>
  </si>
  <si>
    <t>vara. De Calsruhe escriben la noticia de haber fallecido el 15 de Diciembre* á los 62 años de edad, Mr. Boeckmann, sabio distinguido, Consejero íntimo, y profesor de física en el gimnasio de aquella ciudad. Londres 18 de Diciembre. L as cartas de Constantinopla nos repiten que hay mucha tibie</t>
  </si>
  <si>
    <t>Boesner</t>
  </si>
  <si>
    <t>hasta aquí. Compónese esta comisión de Mr. de Stetten, ■'dipütadb/dé'Sa .Citid^d'.dé Augsburgoy de Mr. Boesner , diputado de wlá’'cÍudádÍCde Dubeck.-l-‘El Miñistro y,austriaco Mr. de Fáhnenberg, én "calidad'de Ministro’directoriál' del colegio de los Principes, ha declarando en íá júnta de</t>
  </si>
  <si>
    <t>Bofarrull, Pedro</t>
  </si>
  <si>
    <t>Pedro Bofarrull</t>
  </si>
  <si>
    <t>anaderos á los de fusileros D. Joaquín Goyena y D. Bartolomé Lison ; á Tenientes á los Subtenientes D. Pedro Bofarrull y D. Sebastian de Arroyo , de granaderos, D. Gabriel Tinajero , D. Antonio García, D. Joseph Lacomba, D. Domingo de Aragón , D. Joseph Nuñez, de bandera, y D. Diego Pizarro ; á Subten</t>
  </si>
  <si>
    <t>Boggiefó, Antonio</t>
  </si>
  <si>
    <t>Antonio Boggiefó</t>
  </si>
  <si>
    <t>rcos Antonio Fay y D. Andrés de Castro: en el de Zamora Compañía al Ayudante, con grado de Capitán, D. Antonio Boggiefó; Ayudántíá'al Teniente, graduado de Ca-ipitan, D. Mariano Vázquez, y Subtenencias de bandera* al Sargento priañero D. Justo Martin y ál Cadete D? Rafael del Hoyo :enel de'Guadal -</t>
  </si>
  <si>
    <t>Boix, Estéban</t>
  </si>
  <si>
    <t>Estéban Boix</t>
  </si>
  <si>
    <t>or la idea qiie dio á Juanez sil confesor el V. P. Martin Alberto; y otra de S. Joseph, grabada por D. Estéban Boix, sacada del original de Murillo, que poseen los Marqueses de S. Adrián y Santiago, que se expuso al público este año por la Real Academia de S. Fernando. Se hallarán en la¿ librer</t>
  </si>
  <si>
    <t>Bolívar, Juan Vicente</t>
  </si>
  <si>
    <t>Juan Vicente Bolívar</t>
  </si>
  <si>
    <t>alacios, D. Joseph Vicente González y D. Francisco Lozano: á Teniente.de granaderos al de fusileros D. Juan Vicente Bolívar: á Tenientes de fusileros á los Subtenientes D. Joseph Leandro Palacios, D. Joseph Antonio Cazcrla , D. Domingo Gaiindo, D. Rafael Monasterios, D. Simón de Bolívar, D. Miguel Uzta</t>
  </si>
  <si>
    <t>Bonaparte, General</t>
  </si>
  <si>
    <t>General Bonaparte</t>
  </si>
  <si>
    <t>o x de la República francesa, una é indivisible, de la era vulgar el 1802 , siendo primer Cónsul el General Bonaparte, segundo y tercer Cónsules los ciudadanos Cambacéres y Eebrun; Ministro del Interior el ciud. Chapthal , al cuidado del ciud. Carlos Delacroix^Prefecto del departamento de las boc</t>
  </si>
  <si>
    <t>de su amo. El Cheik El-Sadat, no obstante las extorsiones que ha sufrido después de la partida del General Bonaparte, me pidió que le enviase el ciud. Jaubert, á quien protestó el mayor afecto á la persona del primer Cónsul...... Todos los Cheikes de los árabes que he visto se quejan de los Osma</t>
  </si>
  <si>
    <t>Bonaparte, Joseph</t>
  </si>
  <si>
    <t>Joseph Bonaparte</t>
  </si>
  <si>
    <t>entrada. * Parts de Febrero. M adama Leclerc ha llegado á París el 12 , y fué á apearse en casa de Mr. Joseph Bonaparte. Por decreto del gobierno de 8 de este mes se permite la extracción de toda clase de sedas de losó departamentos del Pó , Tánaro , Sesia, Stura, Marengo y Doria , pasando por Niza</t>
  </si>
  <si>
    <t>Bondia, Francisco</t>
  </si>
  <si>
    <t>Francisco Bondia</t>
  </si>
  <si>
    <t>u, diócesis de Tarragona, á D. Juan Planas: para otro de la-de Valjunquera, diócesis de Zaragoza, á Don Francisco Bondia ; y. para la Dpma de la parroquia de Ullestret, diócesis de Gerona, á D. Antonio Sabater. . . S. M. se ha servido nombrar para lajVara de Alcaide mayor de la villa de Fuente del M</t>
  </si>
  <si>
    <t>Bonhomme, General</t>
  </si>
  <si>
    <t>General Bonhomme</t>
  </si>
  <si>
    <t>r el General Pactod, ha salido de Deventer para Zvvbll. El cuerpo de tropas holandesas que manda el General Bonhomme, hace parte de este exército.—-Las tropas que se han internadoi de un tiempo á esta parte entre Bonn y Colonia, han recibido orden de pasar á Niinega, y de allí á Deventer, donde</t>
  </si>
  <si>
    <t>Bonifacio del Barrio, Antonio</t>
  </si>
  <si>
    <t>Antonio Bonifacio del Barrio</t>
  </si>
  <si>
    <t>ación de la catedral de Calahorra, vacante por fallecimiento de D. Manuel Joaquin García Almárza, á D. Antonio Bonifacio del Barrio, Cura de la catedral de aquella ciudad: para un Beneficio de S. Pedro de Murcia, vacante por muerte de D. Antonio Montezuma y Roxas, á D. Andrés Antonio d« Iturmendi, con la oblig</t>
  </si>
  <si>
    <t>Bonilla y Contreras, Juan</t>
  </si>
  <si>
    <t>Juan Bonilla y Contreras</t>
  </si>
  <si>
    <t>ra de estos todos los eclesiásticos. Los pretendientes dirigirán sus memoriales dentro de 30 dias á D. Juan Bonilla y Contreras, Escribano del referido pueblo. Catecismo y exposicion;breve de la doctrina christíana, por el P. Gerónimo de Ripalda, de la Compañía de Jesús, añadido con 130 preguntas y respues</t>
  </si>
  <si>
    <t>Bonomo y Blet, Andrés</t>
  </si>
  <si>
    <t>Andrés Bonomo y Blet</t>
  </si>
  <si>
    <t>la villa de Huete, en la diócesis de Cuenca, vacante por muerte de D. Domingo Antonio de Tuesta, á D. Andrés Bonomo y Blet; y para la Abadía del Real monasterio de Ntra. Sra. de la O de la congregación Benedictina claustral Tarraconense y Cesaraugustana, en Aragón, á D. Fr. Isidro Santa Creu* En el re</t>
  </si>
  <si>
    <t>Bonvin, Antonio</t>
  </si>
  <si>
    <t>Antonio Bonvin</t>
  </si>
  <si>
    <t>D. Gaspar Antonio Schwager; y Subtenencias de granaderos en el de Courten á los Subtenientes de él D. Antonio Bonvin y D. Juan Pedro Satler. S. M. ha conferido el empleo de Coronel del regimiento provincial de Jaén á D. Juan de Escovedo y Torres, primer Teniente del de infantería de Reales Guardias</t>
  </si>
  <si>
    <t>Borbujo, Joseph Francisco</t>
  </si>
  <si>
    <t>Joseph Francisco Borbujo</t>
  </si>
  <si>
    <t>a: para otra de la catedral de Canaria, que vacó por fallecimiento de D. Nicolás Viera y Clavijo, á D. Joseph Francisco Borbujo: para otra de la colegial de Cardona, ditScesis de Sobona, á D., Miguel Caballería y Mom-par; y para tina Ración de la parroquial del lugar de Lagunarota, dió* cesis de, Lérida ,</t>
  </si>
  <si>
    <t>Borelli, Carlos</t>
  </si>
  <si>
    <t>Carlos Borelli</t>
  </si>
  <si>
    <t>uisa Compañía al Ayudante, graduado de Capitán, D. Nicolás'Moreno,' y para esta resulta al Teniente D. Cárlos Borelli; y en el de húsares dé Oiivencia los empleos de Alféreces al Cadete D. Manuel García Segoviá y al Sargento primero D. Joaquín de Torres. En América. El Rey se ha servido conferir</t>
  </si>
  <si>
    <t>Borghese, Príncipe</t>
  </si>
  <si>
    <t>Príncipe Borghese</t>
  </si>
  <si>
    <t>convenientes para en caso de contagio. .Parts 14 de Noviembre. M adama Leclerc se ha casado con el Príncipe Borghese en Morfontaine. El ciud. Van-Bree, pintor de Ambéres, ha presentado á Madama Bonáparte un quadro alegórico de una composición muy ingeniosa y hecho Con primor. Se representa en él a</t>
  </si>
  <si>
    <t>Borghese-Aldobrandini, Francisco (príncipe)</t>
  </si>
  <si>
    <t>Príncipe Francisco Borghese-Aldobrandini</t>
  </si>
  <si>
    <t>embarcaciones cargadas, de azúcar, granos* y de otros objetos de gran valor. Roma € de Agosto. E 1 Príncipe Francisco Borghese-Aldobrandini ha llegado aquí la semana última de vuelta de Paris; ps hermano del Príncipe Camilo Borghese, quien se casa con la viuda del General Leclerc, hermana del primer Con</t>
  </si>
  <si>
    <t>Borlascá, Francisco</t>
  </si>
  <si>
    <t>Francisco Borlascá</t>
  </si>
  <si>
    <t>D. Luis Cueto: ’ la del de Nápoles al Capitán. d$l. misino^ ci^erpQ, graduado de Teniente Coronel , D. Francisco Borlascá: la del de Suizos de Schnjtd aPGapitanó segundo del propio regimiento, graduado de Teniente Coronel, D. Luis WimpfFen :-la del .primer batallón de Voluntarios de Aragón al Capitán</t>
  </si>
  <si>
    <t>Borras, Agustín</t>
  </si>
  <si>
    <t>Agustín Borras</t>
  </si>
  <si>
    <t>a otro de la parroquia de Sarreal, en la misma diócesis de Tarragona, vacante por .fallecimiento de D. Agustín Borras, á D. Juan Padreny. S. M. se ha servido nombrar paramuna Vara de Alcalde mayor del Gobierno .de la ciudad de Mecida, territorio de la orden de Santiago, á Don Tomas Manuel de Uruñ</t>
  </si>
  <si>
    <t>Borrero, Diego</t>
  </si>
  <si>
    <t>Diego Borrero</t>
  </si>
  <si>
    <t>o se ha servido S. M« nombrar para upa plaza de Agente del número de Indias,, vacante por muerte de D. Diego Borrero, á D. Viseen te Mend izaba!. -¡m . Para celebrar las diez extracciones ordinarias de la Real latería en el año próximo de 1804, y las dos extraordinarias, ha señalado S. M. los di</t>
  </si>
  <si>
    <t>Borringdon, Lord</t>
  </si>
  <si>
    <t>Lord Borringdon</t>
  </si>
  <si>
    <t>nistros cometiesen mas falta que la de no haber resistido desde el principio al primer Cónsul, y el Lord Borringdon solo se queja de que se hallen excluidos de los consejos de S. M. los hombres de mayor talento. El Duque de Cumberland aprueba la administración presente. El Lord Westmoreland se</t>
  </si>
  <si>
    <t>Bosch, Antonio</t>
  </si>
  <si>
    <t>Antonio Bosch</t>
  </si>
  <si>
    <t>ell en el año de 1802. Ambas memorias premiadas con la medalla de oro son de un mismo autor, que es D. Antonio Bosch, Médico de ia expresada villa de Sabadell, en Cataluña. El accessit se acordó á favor de la disertación que se recibió señalada con estas palabras: „No nacimos solamente para noso</t>
  </si>
  <si>
    <t>Bosch, Ramón</t>
  </si>
  <si>
    <t>Ramón Bosch</t>
  </si>
  <si>
    <t>Llivina,de la colegial de S. Juan de las Abadesas, diócesis de Vique, vacante por fallecimiento de D. Ramón Bosch, á Don JuanCreuhet:para otro Beneficio de patronato eclesiástico inferior, unido con otros dos , y fundados en la catedral de Mallorca, vacante por muerte de D. Lorenzo Alamañy, á</t>
  </si>
  <si>
    <t>Bosuet, Obispo</t>
  </si>
  <si>
    <t>Obispo Bosuet</t>
  </si>
  <si>
    <t>celebrar mejor el viage del primer Cónsul por esta ciudad ,’ sino votando un monumento al célebre. Obispo Bosuet, que murió hace 100 años cabales.__ Eil primer Cónsul volvió á París á las 8 de la noche de,i mismo dia. En la junta de 25?de Febrero el ciud. Treylhard, Consejero de Estado , pre</t>
  </si>
  <si>
    <t>Bóuiigny, Luis</t>
  </si>
  <si>
    <t>Luis Bóuiigny</t>
  </si>
  <si>
    <t>graduado de Teniente , D. Antonio Gayarre y D. Francisco LadeVese, los tres primeros Luis Dáunoy j D. Luis Bóuiigny; D. Luis Gayar re y D Cirilo Demorant, los Cadetes D. Francisco M'óréjori , D. Francisco Duvreüiil, Don Juan Domínguez, D. Félix Forstáll , D. Pedro Reggio y1 D. Cátlos Rcggio, y</t>
  </si>
  <si>
    <t>Bouligni, Francisco</t>
  </si>
  <si>
    <t>Francisco Bouligni</t>
  </si>
  <si>
    <t>graduado de Capitán, D. Manuel López; Compañía en el de Asturias al Ayudante, graduado de Capitán, D. Francisco Bouligni; Compañía en el de granaderos Voluntarios de Estado al Ayudante, gra</t>
  </si>
  <si>
    <t>Bouligny, Domingo</t>
  </si>
  <si>
    <t>Domingo Bouligny</t>
  </si>
  <si>
    <t>ero y quinto Ayudantes, y el quarto de granaderos; á Ayudan-' tes á los Tenientes D. Joseph Cruzat, D. Domingo Bouligny y D. Igna-! cío Fernandez; á Tenientes de granaderos á los de fusileros D. Cayetano Perez y D. Pedro Palao ; á Tenientes á los Subtenientes D*. Juan Bautista Pellerin, D. Terencio Le-</t>
  </si>
  <si>
    <t>Bourgoing</t>
  </si>
  <si>
    <t>e pasará á Stuttgard con una comisión del Príncipe. , Francfort 6* de Mayo. E 1 ciud. Bourgoing ha estado poco tiempo en Hamburgo, y salido para Par ís. Se asegura que- ántés de su partida de Stockolmo ha tenido conferencias amistosas con él ministerio su</t>
  </si>
  <si>
    <t>Bourman, Félix</t>
  </si>
  <si>
    <t>Félix Bourman</t>
  </si>
  <si>
    <t>de la villa de Gibraleon, en el arzobispado de Sevir lia, vacante por renuncia que ha hecho de ella D. Félix Bourman, á Don Manuel de Monsegur y Bourman; y para una Capellanía de la Real capilla de Señores Reyes nuevos de la ciudad de Toledo á D. Juan Francisco García Alcázar. En el regimiento d</t>
  </si>
  <si>
    <t>resulta á D. Nicolás Quilti de Valois, que servia igual destino en las de Pachaca; y esta última á D. Félix Bourman. Por el Ministerio de Hacienda se ha comunicado con fecha de 2 de este mes ia Real orden siguiente; ^ 1</t>
  </si>
  <si>
    <t>Bourman, Francisco</t>
  </si>
  <si>
    <t>Francisco Bourman</t>
  </si>
  <si>
    <t>Tenencia al Subteniente D. Joseph Rodríguez: en el de Ultonia Tenencia al Subteniente de granaderos D. Francisco Bourman: en el de Málaga Compañía al Teniente de granaderos, con grado de Capitán, D. Laureano Miraveté: en el de las Ordenes Militares el empleo de fCoronel al Teniente Coronal dé Volunt</t>
  </si>
  <si>
    <t>Bouteiou, Estéban</t>
  </si>
  <si>
    <t>Estéban Bouteiou</t>
  </si>
  <si>
    <t>Bouteiou, jardinero y arbolista mayor del Real sitio ,de Buen-Retiro y del Real jardín botánico, y D. Estéban Bouteiou, ayudante de jardinero y arbolista mayor en el Real sitio de Aranjuez. Esta obra , única en su clase, contiene la descripción de cada planta de hortaliza, sus variedades , cultivo</t>
  </si>
  <si>
    <t>Bovadilla, Antonio</t>
  </si>
  <si>
    <t>Antonio Bovadilla</t>
  </si>
  <si>
    <t>gia, á cargo, el primer dia, del segundo director D. Hipólito Estevez; y los otros dos del profesor D. Antonio Bovadilla. Fueron presididos por el Brigadier D. Félix Colon de Larreátegui, protector de este establecimiento; y diéron principio por una oración, que en sus respectivos dias dixeron Estev</t>
  </si>
  <si>
    <t>Boza, Antonio</t>
  </si>
  <si>
    <t>Antonio Boza</t>
  </si>
  <si>
    <t>l Subteniente de bandera D. Antonio Carballo, y á b que este dexa al Sargento primero de granaderos D. Antonio Boza. También ha nombrado S. M. Alférez de una de las compañías de infantería ligera de Cataluña, fixas de la Havana, al Cadete de las mismas Juan de los Reyes. Asimismo ha promovido e</t>
  </si>
  <si>
    <t>Bqscb, Joseph</t>
  </si>
  <si>
    <t>Joseph Bqscb</t>
  </si>
  <si>
    <t>ha nombrado Subteniente del Real cuerpo de Artillería ,,con destino á la provincia de Venezuela, á D. Joseph Bqscb, Sargento pri-*. mero distinguido de la brigada de Artillería Volante del Real cuerpo de Guardias de Corps; y Subteniente del cuerpo Veterano ,de infantería de Maracaybo á D. Anto</t>
  </si>
  <si>
    <t>Bracamente, Vicente</t>
  </si>
  <si>
    <t>Vicente Bracamente</t>
  </si>
  <si>
    <t>púlveda, Teniente del propio cuerpo; y en el de húsares Españoles al Capitán D. Vicente Bracamente, Teniente del de húsares de OÜvencia. En atención á los buenos servicios de D. Clemente Rodríguez. se ha dignado S. M. xoncederle los honores de Tesorero de exército¿ En América. Ei Rey se</t>
  </si>
  <si>
    <t>Bragge</t>
  </si>
  <si>
    <t>roponer una nueva cláusula; pero que difería hacerlo hasta que se leyese por tercera vez el bilí.__ Mr. Bragge hizo presente que mañana propondría una cláusula, á fin de que la exención se extendiese á aquella secta de personas religiosas llamadas mor avias, así como</t>
  </si>
  <si>
    <t>Interior, en el que le ha sucedido Mr. Yorke, Secretario de la Guerra, á quien se dice que sucederá Mr. Bragge. En la gazeta de Londres (papel de oficio) se ha publicado lo siguiente: Londres 13 de Agosto» S. M. ha tenido á bien mandar al Lord Hawkesbury , principal Secretario de Estado de</t>
  </si>
  <si>
    <t>Braña y Martínez, Ramón</t>
  </si>
  <si>
    <t>Ramón Braña y Martínez</t>
  </si>
  <si>
    <t>un Beneficio sito en el término de Porquera de Santullan, vacante por muerte de D. Juan Giiemes, á D. Ramón Braña y Martínez , Cura del lugar de Nava de Santullan, en la diócesis de Burgos: para otro Beneficio simple del lugar de Santa María de Mercadillo, de la misma diócesis de Burgos, vacante por fal</t>
  </si>
  <si>
    <t>Braulio del Val</t>
  </si>
  <si>
    <t>de la ciudad de Náxera, diócesis de Calahorra, vacante, por muerte de D. Luis Fernandez de Luna, á D. Braulio del Val. En el regimiento de Reales Guardias Españolas se ha servido promover el Rey á Capitanes á los primeros Tenientes y Comandantes de granaderos D. Manuel Francisco de Jáuregui y D.</t>
  </si>
  <si>
    <t>Bravo de Villasante, Diego</t>
  </si>
  <si>
    <t>Diego Bravo de Villasante</t>
  </si>
  <si>
    <t>los Emperadores Romanos : escritos en toscano por el Conde Juan Bautista Comazzi, y traducidos por D. Diego Bravo de Villasante: 2 tomos en 8.° á 20 rs. en pergamino y 24 en pasta. Se hallarán en la librería de Muníta, calle de las Carretas. M isiones y sermones del V, P. Calatayud, de la Compañía de Jesús</t>
  </si>
  <si>
    <t>Bravo y Tocados, Francisco</t>
  </si>
  <si>
    <t>Francisco Bravo y Tocados</t>
  </si>
  <si>
    <t>nencia de bandera al Sarento primero de granaderos D. Gregorio Alvarez; y Capellanía al presf itero D, Francisco Bravo y Tocados: en el de Asturias Capellanía al presbítero D, Juan Manuel Joba: en el de Navarra Compañía ai Teniente de.granaderos, graduado de Capitán., D. Manuel Matoneen el de Ultonia Compañ</t>
  </si>
  <si>
    <t>Bremon, Francisco</t>
  </si>
  <si>
    <t>Francisco Bremon</t>
  </si>
  <si>
    <t>Supl., p. 2</t>
  </si>
  <si>
    <t>ijo de Juan y de Teresa, natural de^ J Barña , dependiente del Corregí- l i.a.. Francisco Bremon. | miento de la misma. Murió en 23 í ííj. 19 de Marzo de 99......................... ..3 fHijo de Pedro y de Catalina, naturah j de Reus, dependiente del Corregí- ¡ 2.a.. Pedro Garrell. \ miento de Tarragona. Murió en 5</t>
  </si>
  <si>
    <t>Brera</t>
  </si>
  <si>
    <t>esténicas y asténicas que el Dr. Weikard publicó en su Manual de Medicina-práctica, cuyo Manual el Dr. Brera traduxo al italiano con el título de Elementos de Medicina-práctica &amp;c. Estos opúsculos, á mas de tratar con extensión y claridad de varias afecciones asténicas, contienen un trat</t>
  </si>
  <si>
    <t>Bretón, Manuel</t>
  </si>
  <si>
    <t>Manuel Bretón</t>
  </si>
  <si>
    <t>ara el empleo que este dexá al 1 ementé; graduado de Capitán, D. Felipe Cadroy; Tenencia al Alférez D. Manuel Bretón , y el empleo de Alférez á los Cadetés D. Joseph María de Alippi,y D. Manuel Santander: en el de húsares de María Luisa Compañía al Ayudante, graduado de Capitán, D. Nicolás'Moren</t>
  </si>
  <si>
    <t>Brichfeus, Joseph</t>
  </si>
  <si>
    <t>Joseph Brichfeus</t>
  </si>
  <si>
    <t>María de Caldas de Mombuy, diócesis de Barcelona, vacante por fallecimiento de D. Esteban Serxa, á D. Joseph Brichfeus. En la Compañía Española del Real cuerpo de Guardias de Corps ha promovido el Rey á Exento de número al Supernumerario Marques de Palacios; á Supernumerario á D. Antonio Arteaga;</t>
  </si>
  <si>
    <t>Bríihe, Almirante</t>
  </si>
  <si>
    <t>Almirante Bríihe</t>
  </si>
  <si>
    <t>tes que pudiera acoderarse. El Contra-Almirante Magon mandó én persona este combate, en que dice el Almirante Bríihe dio eh énerriigó nuevos, testimonios de su impotencia. . • ■' ^ • ! 1 1 Ayer celebró él Instituto nacional ktPjunta publica déstiní&amp;k-’á' repartir los premios de la clase de bella</t>
  </si>
  <si>
    <t>Brikdale, Juan</t>
  </si>
  <si>
    <t>Juan Brikdale</t>
  </si>
  <si>
    <t>. Antonio Luxan, D. Luis Bertrán, D. Nicolás Darcourt, D. Francisco de Corts, D. Cárlos Fitzgerald, D. Juan Brikdale, D. Juan O-Donovan, D. Juan Ponce de León , D. Antonio Lechuga y D. Joseph O-Donell: las de los de 1a Reyna, Corona, Guadalaxara, España, León, Cantabria, Princesa, Extremadura, M</t>
  </si>
  <si>
    <t>Bringas, Julián</t>
  </si>
  <si>
    <t>Julián Bringas</t>
  </si>
  <si>
    <t>alde mayor de la ciudad de Burgos á D. Joseph Gabriel de los Ríos; y para la de la de Santander á á D. Julián Bringas. En América, S. M. se ha servido conferir el empleo de Ayudante-Inspector de los presidios de las provincias internas del Reyno de Nueva España á D. Francisco Viana, Capitán del r</t>
  </si>
  <si>
    <t>Brinton, Capitán</t>
  </si>
  <si>
    <t>Capitán Brinton</t>
  </si>
  <si>
    <t>persiguiendo á unos barcos del puerto, la fragata inglesa la Minerva de 48 cañones, mandada por el Capitán Brinton. Inmediatamente se mandaron dos lanchas cañoneras, que no cesáron de hacer fuego desde las 10 de la noche hasta las cinco y media de la mañana, que la fragata arrió su pabellón. E</t>
  </si>
  <si>
    <t>Brisbane, Capitán</t>
  </si>
  <si>
    <t>Capitán Brisbane</t>
  </si>
  <si>
    <t>o Príncipe, que llevabá:á su bordo i'oo perros de presa, de Cuba, para acometer á los Negros. —l_El Capitán Brisbane ha apresado la corbeta La Mignone de 16 cañones : de á 18. También-ha cogido una pequeña goleta que iba de Santiago de Cuba á Puerto Príncipe con un cargamento de azúcar, y de 347</t>
  </si>
  <si>
    <t>Briz, Antonio Fernando</t>
  </si>
  <si>
    <t>Antonio Fernando Briz</t>
  </si>
  <si>
    <t>, de tercera clase-á D. Manuel Antonio Rui* de Castañeda: para la de Montanehes, de segunda clísela D. Antonio Fernando Briz: para la del Gobierno de la vllla.de Giczaá D. Antonio Aniceto Joseph Sánchez, todas en el territorio de la orden-de Santiago; y para la de Altnédovar del Campo&gt; también de primer</t>
  </si>
  <si>
    <t>Briz, Benito</t>
  </si>
  <si>
    <t>Benito Briz</t>
  </si>
  <si>
    <t>25 &lt;5 mas acciones propias deberán hacerlo constar en la Secretaría del citado Banco, del cargo de D. Benito Briz y exhibiendo las mismas acciones, ó entregando testimonio suficiente que acredite su pertenencia, y los números que comprehendan, y si son adquiridas por endosos,rá quien están llenas</t>
  </si>
  <si>
    <t>Briz, Pedro Antonio</t>
  </si>
  <si>
    <t>Pedro Antonio Briz</t>
  </si>
  <si>
    <t>D. Miguel. Santiago, .á D. Tomas Marchen: para la Media-Ración que obtenía en la catedral de Cuenca D. Pedro Antonio Briz, y ha vacado por su premoción ár una Canongía de la colegial de S. Felipe, en el arzobispado de Valencia, á ,D. Tomas Minguez, por no haber tenido efecto el .nombramiento que hizo</t>
  </si>
  <si>
    <t>Brockdoríf</t>
  </si>
  <si>
    <t>proposiciones hechas en Copenhague de parte de la ciudad de Hamburgo, nombró el Rey de Dinamarca á Mr. Brockdoríf, Chanciller del Ducado de Holstein, y á Mr. de Eyben, su Embaxador cerca del círculo de la Baxa Saxonia, para que entablasen en Hamburgo las negociaciones con el Síndico Doormann</t>
  </si>
  <si>
    <t>Broussonet</t>
  </si>
  <si>
    <t>botánico por D. Antonio Joseph Cavanilles: fascículo 3.0 de Jas plantas que el ciud. Broussonet colectó en Canárias y en Africa. Se hallará con los anteriores en el despacho de la imprenta Real. En virtud de providencia confirmada por los Sres. del Real y</t>
  </si>
  <si>
    <t>Brown</t>
  </si>
  <si>
    <t>a por ley fundamental de Alemania. - Londres 20 de Junio. E n la Cámara de los Comunes, del dia 1 f,Mr. Brown pidió se acordase? la suma de 20% libras esterlinas para hacer caminos y puentes en la! montañas de Escocía , y evitar por este medio la emigración , que cada diá es nías. íreqüen</t>
  </si>
  <si>
    <t>Browñ</t>
  </si>
  <si>
    <t>las 9 de la misma noche, le hicieron salir de su coche con su. sobrino , y los mataron á lanzadas. Mr. Browñ, Coronel del regimiento núm. 21, varios oficiales, y muchos soldados y voluntarios han perdido también la vida, así como un gran numero de rebeldes que parecian ser gente de la ín</t>
  </si>
  <si>
    <t>Brown, Juan</t>
  </si>
  <si>
    <t>Juan Brown</t>
  </si>
  <si>
    <t>el sistema de Guillermo Cullen en orden á la causa próxima de la calentura, y su impugnación por el Dr. Juan Brown, con una censura del sistema browniamo , por él Dr. D. Francisco Llansol , primer médico titular de la villa de Alcira, -Reyno de Valéncia , socio íntimo de la Real Academia de Me</t>
  </si>
  <si>
    <t>rs. en rústica y 34 en pasta, y los quadernos sueltos á 4^ rs. Discurso crítico de la doctrina del Dr. Juan Brown, con algunas reflexiones sobre el pernicioso influxo de los sistemas en el arte de curar, que dirige á los jóvenes que empiezan el exercicio práctico de la medicina D. Antonio Her</t>
  </si>
  <si>
    <t>ía de Montero, calle de la Concepción. Discurso sobre la incertidumbre y perjuicios del sistema del Dr. Juan Brown, con una breve respuesta á las reflexiones del Dr. D. Juan Bautista Llópis, por el Dr. D. Francisco Llansól, primer médico de la villa de Alcira, socio íntimo de la Academia de Ba</t>
  </si>
  <si>
    <t>a del Dr. D. Francisco Llansol, sobre el sistema del Dr, .Guillermo Cullen, y su impugnación por el Dr. Juan Brown, con una censura del sistema browniano , dirigidas á los amigos de la verdad , por D. Juan Bautista Llopis, primer Médico de la villa de Cullera, reyno de Valencia, socio de la Ac</t>
  </si>
  <si>
    <t>Brown, Lord</t>
  </si>
  <si>
    <t>Lord Brown</t>
  </si>
  <si>
    <t>, para creerse capaces de resistir á una invasión.—. Replicó el Secretario de la Guerra, y luego el Lord Brown reprobó altamente quanto habia dicho el Coronel Crawford. Es preciso, prosiguii, que no so*lamente sepa el honorable caballero, sino todo el pueblo, y aun el mismo Bonaparte, que</t>
  </si>
  <si>
    <t>Browne</t>
  </si>
  <si>
    <t>la guerra es forzosa, y que espera que no se limitarán á la defensiva, sino que la harán ofensiva. Mr. Browne sostiene que el peligro actual no viene de parte de los Ministros, y el Lord Kensington se le opone diciendo que por falta de habilidad no abrieron antes los ojos sobre la conduct</t>
  </si>
  <si>
    <t>. ., ... . nian, y se difirió para el día siguiente la lectura del bilí.—Reunióse la Cámara, y Mr. Browne hizo la propuesta de un bilí para abrir un canal de mar á mar en la Escocia; y sin embargo de los gastos en las actuales circunstancias, y de ser montuoso el pais, y oponerse otra</t>
  </si>
  <si>
    <t>Browring, Coronel</t>
  </si>
  <si>
    <t>Coronel Browring</t>
  </si>
  <si>
    <t>sado á hacer fuego. Dos rebeldes quedaron muertos, y ió fueron arrestados y conducidos á Dublin. El Coronel Browring, Quartelmaestre general, lia salido de esta ciudad para ir á las inmediaciones de Limerick, Althone y Armagh , en donde se forma un campamento de 15® hombres. — Los rebeldes han e</t>
  </si>
  <si>
    <t>Bruix, Almirante</t>
  </si>
  <si>
    <t>Almirante Bruix</t>
  </si>
  <si>
    <t>sul, y el aniversario del concordato y del senado-consulto que estableció el consulado perpetuo. El Almirante Bruix da parte de haberse presentado delante de Bolonia el 7 por la mañana un brik y un cúter ingleses , y dado fondo á mucha distancia de las baterías. Al otro dia se les reunieron unos q</t>
  </si>
  <si>
    <t>lamente sostuvo vanos combates por muchas horas, sino que obligó al enemigo á una retirada , que el Almirante Bruix caracteriza de ignominiosa. El Comandante de la de Dunkerque , Perrieux, teniendo fuerzas aun mas débiles que el otro , y hallándose en una posición muy difícil sobre el Cabo Grin</t>
  </si>
  <si>
    <t>El Monitor trahe el siguiente extracto de la orden del día de la esquadrilla nacional al mando del Almirante Bruix.—„,,Los quatro dias que 3a esquadrilla ha pasado fuera, han de haberle hecho conocer sus fuerzas en una línea de acoderamiento. Los buques enemigos temieron acercarse á tiro 4e ca</t>
  </si>
  <si>
    <t>Bruix, General</t>
  </si>
  <si>
    <t>General Bruix</t>
  </si>
  <si>
    <t>probabilidad de sacar buen partido de ellas. Por lo respectivo á nosotros,miramos el manifiesto del General Bruix como una proclama de la seguridad británicasi él nos obsequia con un torrente de palabras, nuestros valientes marinos lo festejan con un diluvio de balas , y aunque sus truenos me</t>
  </si>
  <si>
    <t>Bruley</t>
  </si>
  <si>
    <t>11 de enero de 1803</t>
  </si>
  <si>
    <t>relle con la cochinilla silvestre de Santo Domingo, recogida y preparada por el ciud. Bruley. Esta nueva cochinilla, en igual cantidad, da á los texidos un color que parece mas hermoso, que el que produce la que hasta ahora se ha usado; ademas de que s</t>
  </si>
  <si>
    <t>Brulley</t>
  </si>
  <si>
    <t>ecimiento para reconocerlo,y dar informe del estado en que se halla, y de las ventajas que promete. Mr. Brulley, cultivador americano, que es el Director, iba demostrándoles las plantas , y dándoles noticias de sus respectivos países, de su introducción y cultivo en el jardín, y de sus usos</t>
  </si>
  <si>
    <t>os importantes , y ya connaturalizadas en Italia. Concluido el reconocimiento, manifestaron todos á Mr. Brulley su satisfacción á vista del buen suceso que había obtenido en muchas plantas importantes al comercio, y sus deseos de que el gobierno protegiese aquel establecimiento precioso. Ma</t>
  </si>
  <si>
    <t>Brune, General</t>
  </si>
  <si>
    <t>General Brune</t>
  </si>
  <si>
    <t>e llegó aquí con pliegos para el ciud. Champagny, y continuó su viage para Constantinopla, lleva al General Bruñe , que ya debe haber llegado allí, la orden de pedir á la Puerta, en nombre del primer Cónsul, que haga que las tropas inglesas evacúen el Egipto conforme á los tratados. El Archid</t>
  </si>
  <si>
    <t>a investidura de la dignidad Electoral. El Duque de Wurtemberg tendrá la primacía sobre Básilea. El General Bruñe está determinadamente encargado de pedir á la “Puerta una explicación sobre sus disposiciones respecto de la Inglaterra* y sobre la detención del exército ingles en Egipto. Se dice</t>
  </si>
  <si>
    <t>Kum. 2 j» 261 GAZETA DE MADRID DHL MARTES 29 DE MARZO DE 1803. Constantmopla 10 de Enero, E I General Bruñe, Embaxador de la República francesa , llego el 6 de Enero á esta capital. E11 el mismo dia llegaron todos los Cónsules y Agentes de la República en diversas escalas de Levante. La</t>
  </si>
  <si>
    <t>estaoa encargado: „ Tengo la honra de anunciar á V- E. (ó á V. A.) la llegada á Constantinopla del General Bruñe, nombrado por el primer Cónsul Bonaparte, Embaxador de la República francesa cerca de la Puerta otomana. El puesto que él General Bruñe ocupa en el estado, y los servicios importa</t>
  </si>
  <si>
    <t>ante Leisseignes ha llegado aquí con la división que llevó á Constantinopla al Embaxador francés el General Bruñe. Ha dado vuelta por S. Juan de Acre, donde fue muy bien acogido por DjezzarBaxá. Salió de Alexandría el 30 de Marzo, y los ingleses la habían evacuado el 17. Parece que la tranqui</t>
  </si>
  <si>
    <t>epaultre , oficial francés , ha llegado de Petersburgo con despachos del General Hedouville para ?! General Bruñe, Embaxador de la República francesa. Con este motivo se reúne freqiientemente el ministerio otomano , y ha habido muchas conferencias entre el Embaxador francés y el Reis-Eífendi,</t>
  </si>
  <si>
    <t>egocios de Inglaterra, d tenido algunos indicios sobre el objeto de las freqüentes conferencias del General Bruñe con el ReisEífendi, le remitió una nota á este último, en la que manifestaba que su. corte miraría con disgusto que la Puerta estrechase mas sus vínculos con la Francia, especialm</t>
  </si>
  <si>
    <t>o su protección, por resolución particular al comercio prusiano, contra ios piratas berberiscos. El General Bruñe, Embaxador de la República francesa, ha sido tratado con nuevas distinciones. En la visita que ha hecho ai nuevo Kiosque y ai Serrallo , acompañado del Príncipe Calümacchi, fue re</t>
  </si>
  <si>
    <t>dias ha pasado por aquí con aceleración un correo francés que envía desde Constantinopla á París el General Bruñe. Los pliegos que lleva contienen el resultado de dos juntas del Divan, que se han tenido sobre a untos interesantes, á solicitud de los Embaxadores francés é ingles, cada uno de l</t>
  </si>
  <si>
    <t>Brunel, Pedro</t>
  </si>
  <si>
    <t>Pedro Brunel</t>
  </si>
  <si>
    <t>morias sobre las enfermedades que se deben tener por lácteas durante el curso del preñado: su autor D. Pedro Brunel, Cirujano de Cámara de S. M.: un tomo en 4.°=: Carta censoria sobre ia reforma de los teatros españoles, dirigida á la turba de críticos dramáticos por el Abate Agamenón: á 1 rs.</t>
  </si>
  <si>
    <t>Bruñet, General</t>
  </si>
  <si>
    <t>General Bruñet</t>
  </si>
  <si>
    <t>tropa de africanos que se había posesionado delante del Cabo, en la llanura del Norte, dio orden al General Bruñet de reunirse á él, con la resolución de disipar los bandidos; pero habiendo caído malo pocos dias después, murió ei 2 de Noviembre. El exército , testigo de su solicitud, de su consta</t>
  </si>
  <si>
    <t>Brunet, General</t>
  </si>
  <si>
    <t>General Brunet</t>
  </si>
  <si>
    <t>siquiera un hombre de toda su caballería. Nosotros no hemos perdido mas que 8 en la función. __ El General Brunet celebra el valor con que todos pelearon, y en especial el de su Ayudante Puton, que recibió muchos sablazos peleando cuerpo á cuerpo con muchos bandidos que mató. Ha pedido el Gen</t>
  </si>
  <si>
    <t>Brunetti, Juan</t>
  </si>
  <si>
    <t>Juan Brunetti</t>
  </si>
  <si>
    <t>. Continuación de la colección de retratos de las Personas Reales: retratos de SS. MM. grabados por D. Juan Brunetti, copiados por los dibuxos originales de D. Antonio Carnicero. Se hallarán en la librería de Escribano, calle de las Carretas , á 6 rs. EN LA IMPRENTA REAL.</t>
  </si>
  <si>
    <t>s de SS. MM. Luis I y Alaría Luisa su esposa , Infantes de España , Reyes de Etruria , grabados por D. Juan Brunetti, copiados de los dibuxos originales de D. Antonio Carnicero, Pintor de Cámara &amp;c. Se hallarán en la librería de Escribano, calle de las Carretas, á 6 rs. sueltos y á 5 toda Ja col</t>
  </si>
  <si>
    <t>las Personas Reales : retrato del Sermo. Sr. D. Carlos María Isidro, Infante de España, grabado por D. Juan Brunetti, copiado del dibuxo original de D. Antonio Carnicero , Pintor de Cámara de S. M. &amp;c. Se hallará en la librería de Escribano, calle de las Carretas, á 6 rs. sueltos , y á 5 toda la</t>
  </si>
  <si>
    <t>Bruno Barreta</t>
  </si>
  <si>
    <t>del tercer batallón del de Saboya al Sargento mayor del de Asturias, graduado de Teniente Coronel, D. Bruno Barreta; y jen,el segundo batallón de infantería ligera de Voluntarios de Cataluña el empleo de primer .Ayudante al Capitán segundo D. Francisco Vila. También ha promovido S. en el de inf</t>
  </si>
  <si>
    <t>Bruno López</t>
  </si>
  <si>
    <t>sí mismo: para el Préstamo del lugar de Mcronta, en la diócesis de Salamanca, vacante por muerte de D. Bruno López, y las dos Medias-Prestameras de Buendia y de Zarzuela, en la diócesis de Cuenca?,, vacantes por renuncia de D. Manuel Rosales, á D. Domingo CafJtcro&gt; Sacristán mayor del Real con</t>
  </si>
  <si>
    <t>Bruno López de Urbina</t>
  </si>
  <si>
    <t>atedral: para la del lugar de Guadramiro, en la diócesis de Salamanca, vacante por fallecimiento de D. Bruno López de Urbina, á D. Ramón Mato, con las carga* que tiene anexas: para la Prestamerá de Pareja y la de Buendia, vacantes en la diócesis de Cuenca por íenuncia de D. Manuel Resales, á, D. Isidro</t>
  </si>
  <si>
    <t>Bucelli, Luis Andrés</t>
  </si>
  <si>
    <t>Luis Andrés Bucelli</t>
  </si>
  <si>
    <t>-tiene dos pulgadas de agua en todo su curso. Gntaría laxara 24 de Febrero. D . Luis Andrés Bucelli, Médico y Cirujano titular de las Reales fábricas de esta ciudad, continuando en la curación de las fístulas del ano sin la operación cruenta, como también en la de los cancros de los pec</t>
  </si>
  <si>
    <t>Bueno, Bartolomé</t>
  </si>
  <si>
    <t>Bartolomé Bueno</t>
  </si>
  <si>
    <t>Ignacio Alvarado : para la Tesorería al Canónigo D. Pablo Larinaga; para esta Canongía al Racionero D. Bartolomé Bueno; y para la Ración al Medio Racionero Don Jdiguel Dulce. . ' S. M. se ha servido nombrar Teniente del regimiento de infantería de Puebla, fixo de Nueva-España, á D. Carlos Leblond,</t>
  </si>
  <si>
    <t>Bufli, Joseph</t>
  </si>
  <si>
    <t>Joseph Bufli</t>
  </si>
  <si>
    <t>agoneses: para otro de residencia de coro y altar de la catedral de Ibiza, vavante por promoción de D. Joseph Bufli á una Ración de la misma catedral, á D. Joseph Ferrer; y para la Obrería Oficio regular del Real monasterio de S. Pedro de Roda, de la congregación benedictina claustral, en Catal</t>
  </si>
  <si>
    <t>Buil, Carlos</t>
  </si>
  <si>
    <t>Carlos Buil</t>
  </si>
  <si>
    <t>de Sagunto Ayudantía al Teniente, graduado de Capitán, D. Ramón Ortigosa; Tenencias á los Alféreces D. Cárlos Buil y D. Pedro Lechuga, y Alféreces al Cadete D. Francisco Mayorga, al dé igual clase D. Juan Bastos y al Sargento primero D* Juan Ruiz: en el de húsares de Numancia Compañía al Ayudante</t>
  </si>
  <si>
    <t>Buis</t>
  </si>
  <si>
    <t>hoy de Inglaterra dan mas esperanzas que nunca de la conservación de la paz. El ciud. Buis, Ministro de la República cerca de la corte de PetersJburgo, por razón del mal estado de su salud ha sido reemplazado por el ciüd. Hoozemdorp. Basilea 22 de Ab</t>
  </si>
  <si>
    <t>Burdon</t>
  </si>
  <si>
    <t>que hubiese mayor numero en circulación. Por último , se adoptó la resolución. En la junta de ayer Mr. Burdon dixo tenia que presentar una petición de los armadores de la ciudad de Durham, que solicitan la abolición del bilí del derecho de tonelada , y que estaba persuadido que la exposic</t>
  </si>
  <si>
    <t>Burgos Barona, Manuel</t>
  </si>
  <si>
    <t>Manuel Burgos Barona</t>
  </si>
  <si>
    <t>drés de la villa deCuellar, en la diócesis de Segovia, vacante por muerte de D. Tornas del Valle, á D. Manuel Burgos Barona: para la quarta Prestamera de la parroquial de la villa de Gibraleon, en el arzobispado de Sevir lia, vacante por renuncia que ha hecho de ella D. Félix Bourman, á Don Manuel de M</t>
  </si>
  <si>
    <t>Burgos, Lorenzo</t>
  </si>
  <si>
    <t>Lorenzo Burgos</t>
  </si>
  <si>
    <t>raduado de Coronel, D. Raymundo Español; á Teniente Coronel al Sargento mayor, graduado de Coronel, D. Lorenzo Burgos; á Sargento n ayor al Capitán D. Francisco Bayot; á Capitanes al Teniente de grane den.: D&lt; n Manuel Mendoza, y al Ayudante D. Rayrmundo de CaMrojá Ayudante al Teniente D. V icent</t>
  </si>
  <si>
    <t>Burieigli, Lord</t>
  </si>
  <si>
    <t>Lord Burieigli</t>
  </si>
  <si>
    <t>busóos que han existido. Sobre este puntó citaré la respuesta que en él reynbdo de Elisabeth dio el Lord Burieigli a una objeción de la misma especie^ y fué está: si qu ando vais por un camino echáis de ménos vuestra bolsa y queréis buscarla, ¿os volvéreis atras, &amp;continuarei$ vuestro viage ?*</t>
  </si>
  <si>
    <t>Burriel, Marcos</t>
  </si>
  <si>
    <t>Marcos Burriel</t>
  </si>
  <si>
    <t>drid, quien las dedica á la Reyná Ntra. Sra., que Dios guarde. El nombre del P. Marcos Burriel, autor de estas Memorias, y las doctas adiciones con que el editor las ha ilustrado, y de que da razón en el prólogo, bastan para hacer recomendable esta ebra. La multitud de documentos</t>
  </si>
  <si>
    <t>uien las dedica á la -Reyna nuestra Señora, que Dios guardfc. El nombre del P." Marcos Burriel, autor de estas Memorias, y las doctas adiciones con que el editoü las ha ilustrado, y de que da razón en el prólogo, bastan para hacer recomendable esta obra : la multitud de documentos</t>
  </si>
  <si>
    <t>Bustamante, Manuel</t>
  </si>
  <si>
    <t>Manuel Bustamante</t>
  </si>
  <si>
    <t>ález, D. Francisco GaIlano y D. Antonio Valdes; y Subtenencias de bandera á los Sargentos ■primeros D. Manuel Bustamante y D. Francisco Moreno, al Cadete Don Joaquin Conde y al Subteniente de granaderos del provincial de Ecijá D. Juan Nepomuceno Yañez de Barnuevo: en el de Hibernia Compañías al Tenienté</t>
  </si>
  <si>
    <t>l Real cuerpo de Artillería se ha dignado el Rey promover á Xefe de brigada del primer regimiento á D. Manuel Bustamante; á Capitán primero del 5.0 á D. Manuel Torrado; á Capitán segundo del 3.0 á Don Joaquin Cancio, y á Teniente del i.° á D. Francisco Saavedra. Se advierte que las cartas para Ñapól</t>
  </si>
  <si>
    <t>Bustillo de la Cueva, Andrés</t>
  </si>
  <si>
    <t>Andrés Bustillo de la Cueva</t>
  </si>
  <si>
    <t>á D. Tiburcio González; y para otra también del crimen de dicha Chancillería, vacante por muerte de D. Andrés Bustillo de la Cueva, á D&lt; Gabriel Constantin. También ha nombrado S. M. para el Corregimiento de letras de la ciudad de Segovia á D. Antonio González Alameda: para el de la de Airó caraz á D. Joseph</t>
  </si>
  <si>
    <t>Bustillo, Juan Antonio</t>
  </si>
  <si>
    <t>Juan Antonio Bustillo</t>
  </si>
  <si>
    <t>Juan, Francisco Palomino , Miguel Bores , Antonio Galban, Christóbal Pastrana, Joseph María Martin, D. Juan Antonio Bustillo, D. Juan Joseph Coracho, Miguel Fabre y Miguel Morilla,de la deD. Cosme,un libro de Doctrina cada uno del P. Astete, por haberse distinguido de los</t>
  </si>
  <si>
    <t>BustUlo y Cevallos, Joseph Pedro</t>
  </si>
  <si>
    <t>Joseph Pedro BustUlo y Cevallos</t>
  </si>
  <si>
    <t>mbrar para una Ración de la catedral del Nuevo Reyno de León, vacante por renuncia que hizo de ella D. Joseph Pedro BustUlo y Cevallos, á D. ALexandro Vicente de la Garza, Cura de la parroquia de S. Juan Bautista de la* villa de Cade^reyta.</t>
  </si>
  <si>
    <t>Buturlin, Conde</t>
  </si>
  <si>
    <t>Conde Buturlin</t>
  </si>
  <si>
    <t>o establecer en Roma un ministerio de segundo orden * y eh su consequencia ha nombrado al Chambelán Conde Buturlin , Enviado extraordinario cerca del Pontífice Romano. El Consejero Conde Gassini &gt; que se h^lla en Roma Encargado de negocios , tiene orden de permanecer en la misma ciudad en cali</t>
  </si>
  <si>
    <t>Caballero la Real, Joseph Antonio</t>
  </si>
  <si>
    <t>Joseph Antonio Caballero la Real</t>
  </si>
  <si>
    <t>róximo se ha comunicado al Excmo. Sr. Conde de Montarco , Gobernador del Consejo ,por el Excmo. Sr. Don Joseph Antonio Caballero la Real orden siguiente: ,,Excmo. Sr. : en el plan de estudios que se dió á la Universidad de Salamanca en 3 de Agosto de 1771 se impuso á los Regulares la obligación de asistir á las cát</t>
  </si>
  <si>
    <t>Caballero, Benito</t>
  </si>
  <si>
    <t>Benito Caballero</t>
  </si>
  <si>
    <t>asco, á D. Manuel Castalio: para otra de la de Guadix , vacante por muerte de D. Gumesindo Ortiz, á D. Benito Caballero,, Gobernador, Provisor y Vicariorgeneral de aquel obispado: f&gt;ara otra de la de Os uva, vacante por fallecimiento de D. Bernardo de Torres, á D. Ramón de Nafria, Cura de la parroq</t>
  </si>
  <si>
    <t>Caballero, Joseph Antonio</t>
  </si>
  <si>
    <t>Joseph Antonio Caballero</t>
  </si>
  <si>
    <t>dé la Guerra se ha circulado la orden siguiente: ? En Real orden de 4 del corriente me dice el Sr. D, Joseph Antonio Caballero, Secretario de Estado y del Despacho universal de Gracia y Justicia, lo siguiente: „PIabiendo resuelto el Rey, en celebridad del matrimonio del Príncipe Ntro. Sr. con la Senna. Sr</t>
  </si>
  <si>
    <t>7 de este mes la circular siguiente: Con fecha 29 de Setiembre próximo ha comunicado el Excmo. Sr. D. Joseph Antonio Caballero al Excmo. Sr. Gobernador del Consejo la Real orden que dice así: ,, Excmo. Sr. Deseando el Rey proporcionar á los labradores los medios convenientes para sembrar y mantenerse en e</t>
  </si>
  <si>
    <t>de 7 de Octubre la circular siguiente: Con fecha de 17 de Setiembre próximo comunicó el Excmo. Sr. D. Joseph Antonio Caballero al Excmo. Sr. Gobernador del Conseja la Real orden siguiente: ,, Excmo. Sr. Deseando el Rey prevenir por todos los medios posibles las fatales conseqüencias que necesariamente ha</t>
  </si>
  <si>
    <t>onsejo Real se ha comunicado con fecha de 10 de este mes la circular siguiente. • &gt; ,,E1 Excmo. Sr. D. Joseph Antonio Caballero comunicó al Consejo en 14 de Noviembre próximo para su cumplimiento una Real orden que 12 del mismo le había participado el Sr. Secretario de Estado y del Despacho de la Guerra, c</t>
  </si>
  <si>
    <t>Cabellos y Mesas, Antonio</t>
  </si>
  <si>
    <t>Antonio Cabellos y Mesas</t>
  </si>
  <si>
    <t>político , tomado el argumento de Mr. Fenelonen las Aventuras de Telémaco ; traducido en verso por D. Antonio Cabellos y Mesas: un tomo en 8.° á 4 rs. en rústica, rzzDiscursos políticos y morales deducidos de la historia de los Emperadores Romanos : escritos en toscano por el Conde Juan Bautista Comazzi,</t>
  </si>
  <si>
    <t>Cabero, Joaquín Ramón</t>
  </si>
  <si>
    <t>Joaquín Ramón Cabero</t>
  </si>
  <si>
    <t>raduado de Capitán, D. Manuel Vallecillo: á Teniente en el de Zaragoza al Subteniente de granaderos D. Joaquín Ramón Cabero; y á Subteniente de bandera al Cadete D. Igr nació Lavilla Gandarillas: á Subteniente de bandera en el primer batallón de Voluntarios de Aragón al Cadete del mismo cuerpo D. Josep</t>
  </si>
  <si>
    <t>Cabestan, Jacinto</t>
  </si>
  <si>
    <t>Jacinto Cabestan</t>
  </si>
  <si>
    <t>ido conferir Compañía en el regimiento de infantería del Príncipe al Teniente, graduado ae Capitán, D. Jacinto Cabestan: Ayudantía en el de España al Capitán D. Francisco Virues, Teniente del mismo cuerpo: Subtenencias en el de Valencia al Sargento primero D. Andrés Sánchez, y á los Cadetes D. Jose</t>
  </si>
  <si>
    <t>Cabeza de Vaca, Joseph</t>
  </si>
  <si>
    <t>Joseph Cabeza de Vaca</t>
  </si>
  <si>
    <t>dante del de Húsares Españoles. El Rey ha nombrado Coronel del regimiento provincial de Toro á Frey D. Joseph Cabeza de Vaca, Capitán del Real cuerpo de Artillería: para igual empleo.del de Betanzos al Marques de Almeyras, Coronel del tic Mondoñedo: para esta resulta á D. Joseph Manuel de Losada y Quiro</t>
  </si>
  <si>
    <t>Cabeza de Vaca, Vicente</t>
  </si>
  <si>
    <t>Vicente Cabeza de Vaca</t>
  </si>
  <si>
    <t>a, D. Francisco Saravia y Zuazo, D. Manuel Cebriaa y Castro, D. Antonio Esparza Go* méz de Bonilla, D. Vicente Cabeza de Vaca y D. Andrés Amat y Toftosa; habiendo igualmente nombrado S. M. Subtenientes del mismo cuerpo á los Cadetes de los regimientos de Reales Guardias de infantería Española y Walona D. Cár</t>
  </si>
  <si>
    <t>Cabeza, Juan</t>
  </si>
  <si>
    <t>Juan Cabeza</t>
  </si>
  <si>
    <t>fael Real de Senra: para otra también vacante en la referida santa iglesia de Toledo, por muerte de D. Juan Cabeza, á D. Ramón Escriche: para otra de la catedral de Orense, vacante por promoción de D. Juan García de Aleña, á D. Pedro Marrtiinez: para otra de la colegiata de la villa de Monzon,</t>
  </si>
  <si>
    <t>Cabiedes, Felipe</t>
  </si>
  <si>
    <t>Felipe Cabiedes</t>
  </si>
  <si>
    <t>e la colegiata de la villa de Monzon, diócesis de Lérida, vacante por renuncia que ha hecho de ella D. Felipe Cabiedes, á D. Nicolás Gómez Clemente: para el Beneficio servidero de la villa de Pozo Alcon, en la diócesis de Toledo, vacante por renuncia de D. Alexandro Bernardo Beltran, á D. Juan Ant</t>
  </si>
  <si>
    <t>Cabrera, Francisco</t>
  </si>
  <si>
    <t>Francisco Cabrera</t>
  </si>
  <si>
    <t>aga y Granaderos Voluntarios de Estado, á los Tenientes Coroneles graduados, D. Miguel de los Ríos, D. Francisco Cabrera, D. Luis Padilla, D. Xavier Elio, D. Juan Chrisóstomo Trelles ,.D. Cárlos Montero, D. Vicente Martínez, D. Pedro Grimarest, D. Alonso Valdes y D. Alexandro Ojea, Sargentos mayores</t>
  </si>
  <si>
    <t>Cabrera, Juan</t>
  </si>
  <si>
    <t>Juan Cabrera</t>
  </si>
  <si>
    <t>. Juan Frasnedo; Ayudantía al Teniente, graduado de Capitán , D. Joseph Campos; Tenencia al Alférez D. Juan Cabrera , y el empleó de Alférez al Portaestandarte DvJpséph;Frásiiedo:: en el de cazadores del Rey Compañía al Ayudante, graduado dé Capitán, D. Luis Giglioti; Tenencia al Alférez D. Eus</t>
  </si>
  <si>
    <t>Cabrera, Juan Nepomuceno</t>
  </si>
  <si>
    <t>Juan Nepomuceno Cabrera</t>
  </si>
  <si>
    <t>Roxas, al Racionero de la misma D. Joseph Domingo Duchesne; y para esta resulta al Medio-Racionero D. Juan Nepomuceno Cabrera. - S. M. se ha servido conferir el empleo de Coronel del regimiento de infantería de México á D. Pedro Alonso, Teniente Coronel del de la Corona, fixo de Nueva-España; y el de Sar</t>
  </si>
  <si>
    <t>Cabrera, Manuel</t>
  </si>
  <si>
    <t>Manuel Cabrera</t>
  </si>
  <si>
    <t>urso todo el progreso del sitio hasta rendirla á discreción: nene un ano y nueve meses de servicio. Don Manuel Cabrera, igual al primero en ordenanza yma</t>
  </si>
  <si>
    <t>Cabrera, Pedro Joseph</t>
  </si>
  <si>
    <t>Pedro Joseph Cabrera</t>
  </si>
  <si>
    <t>de lá Lande, el Tratado de cosmografía por ei Sr. Ciscar, y el Diccionario geográfico por Mompalao. Don Pedro Joseph Cabrera, D. Francisco López "Villapol y D. Crispin Martínez Cardeza, que se distinguieron por la clase de geometría, el primero con el Curso de Bezout, y cada uno de los dos últimos con e</t>
  </si>
  <si>
    <t>Cacho Montenegro, Luis</t>
  </si>
  <si>
    <t>Luis Cacho Montenegro</t>
  </si>
  <si>
    <t>uin de la Cruz, Cadetes de los de caballería de Húsares Españoles y de España, quarto de Húsares; á D. Luis Cacho Montenegro y D. Miguel Santiilana, Subtenientes de la compañía provincial de artillería de la Coruña y del regimiento de milicias de Toro. En América. El Rey se ha servido nombrar para una Canon</t>
  </si>
  <si>
    <t>Cadahalso, Joseph</t>
  </si>
  <si>
    <t>Joseph Cadahalso</t>
  </si>
  <si>
    <t>villa en el término de 15 días , cuya provisión ha de hacer la misma. Nueva edición de las obras de D. Joseph Cadahalso, comandante de esquadron del regimiento de Borbon, y caballero del hábito de Santiago. Los Eruditos á la violeta ó curso completo de todas las ciencias: el Suplemento á este famos</t>
  </si>
  <si>
    <t>Cadet-deVeaux</t>
  </si>
  <si>
    <t>e marina, establecida en Brest, ha querido asegurarse de la certeza del descubrimiento que ha hecho Mr. Cadet-deVeaux, para desinficionar la carne, juzgando que será de mucha utilidad para la navegación; con cuyo objeto se na hecho un experimento que no dexa duda de su bondad, y fué del modo sigu</t>
  </si>
  <si>
    <t>Cadroy, Felipe</t>
  </si>
  <si>
    <t>Felipe Cadroy</t>
  </si>
  <si>
    <t>al Ayudante may or D. Joseph'López ; para el empleo que este dexá al 1 ementé; graduado de Capitán, D. Felipe Cadroy; Tenencia al Alférez D. Manuel Bretón , y el empleo de Alférez á los Cadetés D. Joseph María de Alippi,y D. Manuel Santander: en el de húsares de María Luisa Compañía al Ayudante,</t>
  </si>
  <si>
    <t>Cáelos Cea</t>
  </si>
  <si>
    <t>vira. Igualmente se ha servido nombrar para el Corregimiento! de letras de la ciudad de Calahorra á D. Cáelos Cea. y Avalle : para l!a Vara de Alcalde mayor de la de Purehena i D. Joseph Alonso Villasante: para la de la villa de Medelllft á D. Vicente Alonso de Anira&amp;e: para la de la de Villa</t>
  </si>
  <si>
    <t>Cafarelli, General</t>
  </si>
  <si>
    <t>General Cafarelli</t>
  </si>
  <si>
    <t>ndo la junta de sanidad que la marina disfrute de las ventajas de este descubrimiento, ha pedido al General Cafarelli un quarto de vaca ó de cerdo salado que se encuentre corrompido , para hacer con estas carnes nuevos experimentos. Madrid 27 de Setiembre. E n el segundo batallón de Voluntarios d</t>
  </si>
  <si>
    <t>CafJtcro, Domingo</t>
  </si>
  <si>
    <t>Domingo CafJtcro</t>
  </si>
  <si>
    <t>de Buendia y de Zarzuela, en la diócesis de Cuenca?,, vacantes por renuncia de D. Manuel Rosales, á D. Domingo CafJtcro&gt; Sacristán mayor del Real convento de Sta. Isabel de Madrid : para' el Medio-Préstamo de la parroquia de la villa de Camarena, en la diócesis de Toledo, vacante por fallecimiento</t>
  </si>
  <si>
    <t>Caíala, Pedro</t>
  </si>
  <si>
    <t>Pedro Caíala</t>
  </si>
  <si>
    <t>io de la parroquial de Falcét, diócesis de Tarragona, vacante por fallecimiento ae D. Magín Puig, á D. Pedro Caíala: para la Prestamera de la villa de los Molares, en eL arzobispado de Sevilla , vacante por muerte de D. Miguel Gascón, á D. Joseph de la Vega y Bolaño: para el Beneficio simple se</t>
  </si>
  <si>
    <t>Cailimachi, Príncipe</t>
  </si>
  <si>
    <t>Príncipe Cailimachi</t>
  </si>
  <si>
    <t>erta se apeó el Embaxador al pie de la escalera del palacio del Visir., adonde salió i recibirlo el Príncipe Cailimachi, acompañado de .varios Oficiales de dis^ tinción, haciéndolo atravesar sin detenerse en las salas en que los Embaxadores acostumbran esperar. Al tiempo que el Embaxador entraba en</t>
  </si>
  <si>
    <t>Caionge, Nicolás</t>
  </si>
  <si>
    <t>Nicolás Caionge</t>
  </si>
  <si>
    <t>.......... Sres. Moreda y Ladalid. En Oviedo............... D. Manuel Rubiano. En Palenda.......... D. Nicolás Caionge é hijo. En Palma.............. D. Martin Mayol. \ En Pamplona........ Sres. viuda de Barbería é hijos. En Salamanca...... Sres. Urrero y Casaseca. En Santander........Sres. Vial é</t>
  </si>
  <si>
    <t>Calatayud, Luis</t>
  </si>
  <si>
    <t>Luis Calatayud</t>
  </si>
  <si>
    <t>á los de fusileros D. Manuel Adan y D. Hilario Figueroa, y á Subtenientes de bandera á los Cadetes D. Luis Calatayud, D. Joseph Llaguno y D. Manuel Bezanilla.</t>
  </si>
  <si>
    <t>Calcraft</t>
  </si>
  <si>
    <t>VM.__ El General Maitland habló contra la mocion, alegando que ya existía un consejo de guerra. .— Mr. Calcraft respondió á una objeción del Canciller del Echiquier, en que decía que el medio propuesto no tenia exemplo;é hizo ver que así como las circunstancias en que se hallaban carecían d</t>
  </si>
  <si>
    <t>Calde, Joseph</t>
  </si>
  <si>
    <t>Joseph Calde</t>
  </si>
  <si>
    <t>su clase de Cherburgo. Y el Comandante de la fragata de guerra la Venganza, de porte de 34 cañones, D. Joseph Calde ron, que de orden de S. M. se transfirió á Tarragona, condescendiendo con los deseos de aquel vecindario de ver anclar en el nuevo puerto ua buque de los de aquella clase, escribe</t>
  </si>
  <si>
    <t>Calderón y Robles, Joseph</t>
  </si>
  <si>
    <t>Joseph Calderón y Robles</t>
  </si>
  <si>
    <t>ia de Santa Cecilia de Medellinren el obispado de Plasencia, vacante por muerte de D.Ped ro Nuñez,á D. Joseph Calderón y Robles ,con precisa y personal residencia: para otro que obtenía en el lugar de Modubar de la Cuesta, en el arzobispado de Burgos, D. Francisco de Argueso, á D. Ramón de Quevedo: para el</t>
  </si>
  <si>
    <t>Calderón, Benigno</t>
  </si>
  <si>
    <t>Benigno Calderón</t>
  </si>
  <si>
    <t>y D. Pedro Palao ; á Tenientes á los Subtenientes D*. Juan Bautista Pellerin, D. Terencio Le-Blanc, D. Benigno Calderón , D. Pedro' Rola, D. Juan Moreno; D. Ursino Bóuiigny, D. Francisco Garreli, Don1 Francisco de Hévia, P- Vicente Fernandez Texero, graduado de Teniente , D. Antonio Gayarre y D. Fr</t>
  </si>
  <si>
    <t>Calderón, Francisco</t>
  </si>
  <si>
    <t>Francisco Calderón</t>
  </si>
  <si>
    <t>quín Gómez, y k Tenientes á los Subtenientes D. Martin Zarandia, D. Ramón Gómez, Don Rafael Riesqh, D. Francisco Calderón y D. Luis Solana. . , Por la Superintendencia general de la Real Hacienda se ha -comunicado, fla dtfden siguiente: . El Señor Gobernador del Consejo me dice en oficio de 24 de este me</t>
  </si>
  <si>
    <t>Calfareili, General</t>
  </si>
  <si>
    <t>General Calfareili</t>
  </si>
  <si>
    <t>or del primer Cónsul, peligrosamente herido de una caida que dio de su caballo. Lo mismo sucedió.al General Calfareili; pero sin hacerse algún daño.__ Ayer salió para Namur el Cardenal Legado; pero volverá S. Erna, para hallarse aquí quando llegue el primer Cónsul. Nuestros magistrados se han esme</t>
  </si>
  <si>
    <t>Caliani, Pedro</t>
  </si>
  <si>
    <t>Pedro Caliani</t>
  </si>
  <si>
    <t>a Rocha; á Capitanes primeros á los segundos I). Manuel Aguiíar y D. Marcelo Porrata , Ayudantes, y D. Pedro Caliani; Ayudantes á los Capitanes segundos D. Joseph de la Concha y D. Cayetano Ribas; á Capitanes segundos á los Tenientes D. Jo-^ seph de Power, de granaderos, D. Juan Viñals, D. Luis</t>
  </si>
  <si>
    <t>Calichiopolo</t>
  </si>
  <si>
    <t>nos miembros de las autoridades constituidas, y los principales déla ciudad, en casa del Gobernador Mr. Calichiopolo ,donde después de hablarles de quanto se interesaba en su felicidad el primer Cónsul, les exhorte en su nombre á deponer el espíritu de partido que los animaba, y esperar en el si</t>
  </si>
  <si>
    <t>Calixto Miranda</t>
  </si>
  <si>
    <t>Joaquín de Sotomayor , Dignidad de Tesorero de la propia catedral: pata esta Tesorería al Doctoral D. Calixto Miranda: para una Ración de la misma catedral, vacante por ascenso de D. Lázaro Sevillano á Canónigo de ella, i D- Mariano Henri^uez de Guzman, primer Medio-Racionero: para esta resulta á</t>
  </si>
  <si>
    <t>Callimachi, Príncipe</t>
  </si>
  <si>
    <t>Príncipe Callimachi</t>
  </si>
  <si>
    <t>repartieron entre sí. / cabado este espectáculo, que toda la comitiva pudo ver sin incomodidad, el Príncipe Callimachi conduxo al Embaxador hácia la sala del Divan. Desde el dia antes habían puesto á la puerta los- regalos destinados para S. A. y la Sultana-Madre. El Tchaoux-bachi y el C¿ipigi-lar</t>
  </si>
  <si>
    <t>ue haga resplandecer vuestra gloria y sabiduría en toda la extensión del universo.”—Mientras que el Príncipe Callimachi interpretaba el discurso del Embaxador , el Sultán Selim , cuya fisonomía es hermosa y llena dé magestad , pareció estar satisfecho, é indicó con algunas señales de aprobación los</t>
  </si>
  <si>
    <t>tencias.’^— Acabado este discurso , el Embaxador saludó á S. A., y salió de la sala del trono___ Eí Príncipe Callimachi conduxo al Embaxador al aposento en que á su llegada había esperado la formación del Divan, y allí aguardó con toda comodidad que desfilasen las tropas, lo que duró media hora. En</t>
  </si>
  <si>
    <t>Callimadri, Príncipe</t>
  </si>
  <si>
    <t>Príncipe Callimadri</t>
  </si>
  <si>
    <t>or la qual nadie, si no el Gran Señor, puede entrar á caballo. El Gran Visir acababa de apearse; el Príncipe Callimadri suplicó al Emba-»</t>
  </si>
  <si>
    <t>Calmet, Agustín</t>
  </si>
  <si>
    <t>Agustín Calmet</t>
  </si>
  <si>
    <t>, para servir de introducción á la eclesiástica del Abad Fleuri, compviesta en francés por el R. P. Don Agustín Calmet, Benedictino, con notas de santos Padres al pie de ella (conforme al edicto del santo Oficio de 20 de Diciembre de 1782 ), y traducida ai castellano por el P. M. Fr. Miguel Martín</t>
  </si>
  <si>
    <t>Calonge, Nicolás</t>
  </si>
  <si>
    <t>Nicolás Calonge</t>
  </si>
  <si>
    <t>ia..........Sres. Moreda y Ladalid. , Eti Oviedo............ D. Manuel Rubiano. En Patencia.........D. Nicolás Calonge é hijo. En Palma............D. Martin Mayol. En Pamplona.......Sres. viuda de Barbería é hijo. En Salamanca..... Sres. Urrero y Casaseca. En Santander...... Sres. Vial é hijo y co</t>
  </si>
  <si>
    <t>rcia............Sres. Moreda y Ladalid. En Oviedo........... D. Manuel Rubiano. En Palencia........ D. Nicolás Calonge é hijo. En Palma...... ...... D. Martin Mayol. En Pamplona....... Sres. viuda de Barbería é hijos. En Salamanca......Sres. Urrero y Casaseca. En Santander....... Sres. Vial é nijo</t>
  </si>
  <si>
    <t>Calümacchi, Príncipe</t>
  </si>
  <si>
    <t>Príncipe Calümacchi</t>
  </si>
  <si>
    <t>con nuevas distinciones. En la visita que ha hecho ai nuevo Kiosque y ai Serrallo , acompañado del Príncipe Calümacchi, fue recibido con las mayores distinciones, y corrieron las fuentes en obsequio suyo, Petersburgo 2/ de Mayo. A caba de regalar el Emperador al Capitán Krusenstren, comandante de</t>
  </si>
  <si>
    <t>CalUmachi, Príncipe</t>
  </si>
  <si>
    <t>Príncipe CalUmachi</t>
  </si>
  <si>
    <t>o por los grandes oficiales de la Puerta , y le seguía toda su numerosa y brillante servidumbre. El Príncipe CalUmachi, Dragomán de la Puerta, iba detras. La comitiva del Embaxador siguió su marcha, y después de atravesar el primer patio del Serrallo, se detuvo eu la segunda puerta llamada Orta Ca</t>
  </si>
  <si>
    <t>Calvache, Fernando</t>
  </si>
  <si>
    <t>Fernando Calvache</t>
  </si>
  <si>
    <t>ibuxado á presencia del director de escultura de dicha escuela D. Jayme Folch. r__En seguida el Sr. D. Fernando Calvache, Censor del cuerpo, recitó una canción á las bellas artes; y los individuos Dr. D. Simón Argote y D. Francisco Dalman pronunciaron dos discursos filosóficos, el primero sobre la i</t>
  </si>
  <si>
    <t>Cálvelo, Francisco</t>
  </si>
  <si>
    <t>Francisco Cálvelo</t>
  </si>
  <si>
    <t>erruezo; en historia de España D. Ruperto def Pulgar, Teniente Capitán del regimiento de Ñapóles, y D. Francisco Cálvelo, y en poética y retórica D. Antonio Garrido y Torres. En seguida disertó muy elegante y oportunamente sobre la utilidad de la lengua francesa el profesor leones Don •Hipólito Garr</t>
  </si>
  <si>
    <t>Calvo de la Cantera, Juan</t>
  </si>
  <si>
    <t>Juan Calvo de la Cantera</t>
  </si>
  <si>
    <t>En el Real cuerpo de Artillería se ha dignado S. M. promover á Teniente,Coronel al Xefe de brigada D. Juan Calvo de la Cantera ; á Xéfe de brigada al Capitán primero D. Andrés de la Rúa; á Capitanes primeros á los Capitanes segundos D. Alexandro Carbia y D. Vicente Chami</t>
  </si>
  <si>
    <t>Calvo, Joseph</t>
  </si>
  <si>
    <t>Joseph Calvo</t>
  </si>
  <si>
    <t>ongía Doctoral de la colegial de S. Hipólito, de la ciudad de Córdoba, vacante por fallecimiento de D. Joseph Calvo deVida, á D. Mariano García y Ayala, Fiscal eclesiástico de aquel obispado; para la de la catedral de. Salamanca, vacante por muerte1 de D.. Juan Toledano, y por haber fallecido tamb</t>
  </si>
  <si>
    <t>Camacho y Roxas, Fernando</t>
  </si>
  <si>
    <t>Fernando Camacho y Roxas</t>
  </si>
  <si>
    <t>Rey se ha servido nombrar para una Canongía de la catedral de Sta. Fe, vacante por fallecimiento de D. Fernando Camacho y Roxas, al Racionero de la misma D. Joseph Domingo Duchesne; y para esta resulta al Medio-Racionero D. Juan Nepomuceno Cabrera. - S. M. se ha servido conferir el empleo de Coronel del re</t>
  </si>
  <si>
    <t>Cambacéres</t>
  </si>
  <si>
    <t>1802 , siendo primer Cónsul el General Bonaparte, segundo y tercer Cónsules los ciudadanos Cambacéres y Eebrun; Ministro del Interior el ciud. Chapthal , al cuidado del ciud. Carlos Delacroix^Prefecto del departamento de las bocas del Rhódano, órgano del reconocimiento</t>
  </si>
  <si>
    <t>Camilo Borghese, Príncipe</t>
  </si>
  <si>
    <t>Príncipe Camilo Borghese</t>
  </si>
  <si>
    <t>Francisco Borghese-Aldobrandini ha llegado aquí la semana última de vuelta de Paris; ps hermano del Príncipe Camilo Borghese, quien se casa con la viuda del General Leclerc, hermana del primer Con</t>
  </si>
  <si>
    <t>Camilo Morales</t>
  </si>
  <si>
    <t>; la Compañía que este dexa al Capitán D. Fermín Landazuri, Ayudante mayor; este empleo al Teniente D. Camilo Morales; la Tenencia que resulta vacante al Subteniente D. Felipe García Piulare , y una Subtenencia de bandera al Subteniente D. Miguel Baamonde, Cadete que era del mismo cuerpo. También</t>
  </si>
  <si>
    <t>Camilo Tiny</t>
  </si>
  <si>
    <t>eph Marques y Mexino; y en el regimiento suizo de Betschart á Teniente al Subteniente de granaderos D. Camilo Tiny. S. M. se ha servido conferir Compañía en el regimiento de cazadores de la Rey na al Capitán D. Ramón Santa María, Ayudante del propio cuerpo. Él Rey se ha servido nombrar para la</t>
  </si>
  <si>
    <t>Camón, Joseph</t>
  </si>
  <si>
    <t>Joseph Camón</t>
  </si>
  <si>
    <t>. Félix Martínez de Tejada, que vive en la calle Mayor inmediato ai Conde de Olíate , y en Málaga á D. Joseph Camón. A conseqüencia de los Reales decretos se está subastando una casa, sita en la calle de Sta. María 4c esta corte , níun. 24 , manz. 232, comprehensiva de 1257^ pies quadrados supe</t>
  </si>
  <si>
    <t>Campa, Francisco Xavier</t>
  </si>
  <si>
    <t>Francisco Xavier Campa</t>
  </si>
  <si>
    <t>guarde &amp;c.” En la gazeta del mártes 23 del corriente se dix!0 que S. M. se había servido nombrar á D. Francisco Xavier Campa , para el Corregimiento de la villa de Medina del Campo, y debió decirse para la Vara de ¿Alcalde mayor de la de Medina de las Torres. ------ -................— -----— — - ■ - - -</t>
  </si>
  <si>
    <t>Campe’rl, Almirante</t>
  </si>
  <si>
    <t>Almirante Campe’rl</t>
  </si>
  <si>
    <t>s franceses que vienen de la América septentrional. El Almirante Cornwallis lia destacado al Contra-Almirante Campe’rl con quatros navios de línea y una fragata para una expedición secreta. ¡También ha dado, orden á los navios Tonante y Marte de 84-y 74, que cruzaban á la.altura de España, para qu</t>
  </si>
  <si>
    <t>Campos, Antonio</t>
  </si>
  <si>
    <t>Antonio Campos</t>
  </si>
  <si>
    <t>os D. Christóbal Escovar: Compañía en el de América al Teniente de granaderos, graduado de Capitán, D. Antonio Campos; y Subtenencia en el regimiento Suizo vacante de Yann al Sargento primera D. Juan Weller. En América,. El Rey se ha servido nombrar para la Gañongía Doctoral de la catedral de San</t>
  </si>
  <si>
    <t>Campos, Joseph</t>
  </si>
  <si>
    <t>Joseph Campos</t>
  </si>
  <si>
    <t>nio Ramón dé Azcarraga y al Teniente D. Juan Frasnedo; Ayudantía al Teniente, graduado de Capitán , D. Joseph Campos; Tenencia al Alférez D. Juan Cabrera , y el empleó de Alférez al Portaestandarte DvJpséph;Frásiiedo:: en el de cazadores del Rey Compañía al Ayudante, graduado dé Capitán, D. Luis</t>
  </si>
  <si>
    <t>Campos, Juan</t>
  </si>
  <si>
    <t>Juan Campos</t>
  </si>
  <si>
    <t>'por él mismo Ministerio de Haciéndala Real orden siguiente: Enterado el Rey de lo representado por D. Juan Campos, vecino dp Granada, se ha servido declarar que en la Real orden de 18 de Febrero próximo 110 solo se halla comprehendida la seda torcida que venga del extrangero, sino que en lo s</t>
  </si>
  <si>
    <t>Camps, Manuel</t>
  </si>
  <si>
    <t>Manuel Camps</t>
  </si>
  <si>
    <t>drid, vacante por haber pasado D. Juan de Dios Merinero, queda obtenia, á la catedral de Astorga, á D. Manuel Camps. ■ ■■ = • lin consideración á los dilatados méritos y servicios del Sr. D. Juan Pacheco, Consejero honorario de Estado, se ha servido el Rey concederle plaza efectiva en el mismo</t>
  </si>
  <si>
    <t>Camps, Ramón</t>
  </si>
  <si>
    <t>Ramón Camps</t>
  </si>
  <si>
    <t>ncisco Travería: para el Beneficio de S. Miguel, llamado de la Lámpara, de la catedral de Vique , á D. Ramón Camps ; y para el Beneficio simple fundado en la parroquial de la villa de S. Pedor, baxo la invocación de S. Pedro, diócesis de Vique, á D. Joseph Frigola. Los tenedores de Vales-diner</t>
  </si>
  <si>
    <t>Camus</t>
  </si>
  <si>
    <t>án á conoceT luego que se halle completamente arreglada* París J5 de Enero, E 1 ciud. Camus, que fué nombrado viagero del Instituto por decreto del 24 de Agosto del año de 1801 , ha dado cuenta del viage que ha hecho por el departamento del Baxo Rhin,</t>
  </si>
  <si>
    <t>gnante e! trabajo—-.Las casas de corrección se han transformado en talleres. El ciud. Camus informa muy circunstanciadamente al Instituto acerca del estado de estas casas de corrección de Vilvorde y de Gante; y la persona que va á ellas en castigo deb</t>
  </si>
  <si>
    <t>Canciller, Lord</t>
  </si>
  <si>
    <t>Lord Canciller</t>
  </si>
  <si>
    <t>gobiernan en el día merecen la confianza de todos, y no handado motivo ninguno para perderla.__ El Lord Canciller recordó á la Cámara que se trataba de saber si la Cámara se habia de formar en junta para exáminar un bilí de subsidios que interesaba no solamente á los establecimientos militare</t>
  </si>
  <si>
    <t>tiempo para formar una opinión justa, completa é imparcial, fundada en la mas atenta indagación._E1 Lord Canciller apoyó estas consideraciones, y después de algunas explicaciones entre varios Lores, se señaló el término de 15 dias para la discusión de la propuesta del Conde de Fitzwilliam. ; E</t>
  </si>
  <si>
    <t>Cancio, Joaquín</t>
  </si>
  <si>
    <t>Joaquín Cancio</t>
  </si>
  <si>
    <t>á D. Manuel Bustamante; á Capitán primero del 5.0 á D. Manuel Torrado; á Capitán segundo del 3.0 á Don Joaquin Cancio, y á Teniente del i.° á D. Francisco Saavedra. Se advierte que las cartas para Ñapóles deben franquearse en los oficios de correos, pues sin esta circunstancia no se les dará curs</t>
  </si>
  <si>
    <t>Cándano, Joseph</t>
  </si>
  <si>
    <t>Joseph Cándano</t>
  </si>
  <si>
    <t>contrahido. Se concluyó la junta con un elogioá nuestros augustos Soberanos, que leyó el académico D. Joseph Cándano, y todo mereció la aprobación y aplauso de las personas ilustres y de distinción que honraron el acto con su asistencia. En la extracción de la Real lotería execntada el Iones 19</t>
  </si>
  <si>
    <t>Cándiani, General</t>
  </si>
  <si>
    <t>General Cándiani</t>
  </si>
  <si>
    <t>ener un permiso especial de la autoridad legítima. Nuestra corte ha tenido noticia de la muerte del General Cándiani, Gobernador de Zara en Dalmacia. Como de poco tiempo á esta parte, muchos individuos de esta provincia han tomado partido en la marina inglesa, el ministerio austríaco queriendo c</t>
  </si>
  <si>
    <t>Cándido María Trigueros</t>
  </si>
  <si>
    <t>co, ó Quixote de los teatros, por el Mtro. Crispin Caramillo, cuní notis variorum : obra postuma de D. Cándido María Trigueros , Bibliotecario que fué de los Reales estudios de Madrid: un tomo en 8o. marquilla. Véndese en las librerías de Castillo , frente á las gradas de S. Felipe, y en la de Vusté, call</t>
  </si>
  <si>
    <t>r-’ La Moza de Cántaro: la Buscona ó el Anzuelo de Eenisa: ámbas de Lope de Vega, y refundidas por D. Cándido María Trigueros. Se hallarán en la librería de González, calle de Atocha. &lt; ■ ,. Estampa de quartilla de la Sacra Familia. Se hallará á 2 rs. eit negro y 3 iluminada en las librerías de Escribano</t>
  </si>
  <si>
    <t>S. Felipe. La Melindrosa, ó los Esclavos supuestos : comedia de Lope de Vega Carpió, refundida por D. Cándido María Trigueros. Se hallará en la librería de González, calle de Atocha, frente á la casa de los Gremios. Estampa de medio pliego de marca mayor de Ntra. Sra. del Pilar en su gloriosa venida , di</t>
  </si>
  <si>
    <t>ra el Beneficio de S. Bartolomé de Carmona, en la diócesis de Sevilla, vacante por fallecimiento de D. Cándido María Trigueros, y por no haber acudido á tomar posesión D. Joseph de Herrera, á quien S. M. nombró para él en decreto de ió d.e Octubre de 1798, á D. Antonio Civit y Nadal: para otro simple serv</t>
  </si>
  <si>
    <t>Cándido Peces</t>
  </si>
  <si>
    <t>a iglesia de Toledo, vacante por promoción de D. Fermín Quadros á una Ración de la misma iglesia, á D. Cándido Peces. . El Rey se ha servido Conferir Compañía en el regimiento de infantería de Navarra al Teniente, graduado de Capitán, D.? Ignacio Aldudo; y Subtenencias de bandera en el de la Rey</t>
  </si>
  <si>
    <t>Cañivano y Contreras, Manuel</t>
  </si>
  <si>
    <t>Manuel Cañivano y Contreras</t>
  </si>
  <si>
    <t>or la promoción de D. Pedro Antonio Verges ai Beneficio simple de Arjona, en la diócesis de Jaén, á D. Manuel Cañivano y Contreras: para otro Beneficio de Contreras, en el Arciprestazgo de Silos, y el de Palazuelos, en el de Candemuño, ambos de la diócesis de Burgos, á D. Manuel Rosado Ribero: para otro Benef</t>
  </si>
  <si>
    <t>Cano, Tomás</t>
  </si>
  <si>
    <t>Tomás Cano</t>
  </si>
  <si>
    <t>el de Cuenca á D. Pedro Guerrero, Ayudante del provincial de Orense: en el de Alcázar de S. Juan á D. Tomas Cano , Capitán del de infantería de la Corona: en el de Mondoñedo á D. Fernando Martínez, Capitán del inmemorial del Rey: en el de Avila al Teniente Coronel D. Felipe Muñoz, Ayudante,</t>
  </si>
  <si>
    <t>Capellá, Joseph</t>
  </si>
  <si>
    <t>Joseph Capellá</t>
  </si>
  <si>
    <t>do; y para otra Canongía de la colegial de Guisona, diócesis de Urgel, vacante por fallecimiento de D. Joseph Capellá, á D. Mateo Folguera. Condescendiendo S. M. con la súplica que le ha hecho el Cura dei lügar de Pinar Negrillo D. Juan Manuel Fernandez.de Reyero, ha venido en admitirle la renunc</t>
  </si>
  <si>
    <t>Caprara, Cardenal</t>
  </si>
  <si>
    <t>Cardenal Caprara</t>
  </si>
  <si>
    <t>o ningún contagio en aquella isla. ( Extracto del Mormng Chronicle.) '¿ ** Brusélas $ de Julio. E I Cardenal Caprara, Legado á latere de la corte de Roma en Francia, llegó ayer á esta ciudad, donde permanecerá todo el tiempo que esté aquí</t>
  </si>
  <si>
    <t>&lt;1 dia de las kalendas de Junio, año iv de nuestro Pontificado.” A conseqiiencia dé los poderes del Cardenal Caprara, para poner en execucion la bula de S. S. , ha aceptado la dimisión que han hecho de sus obispados los de Suzi, Pigneroi, Fossano, Alba, Tortona, Bobbio, Casal-, Biela y el de Aos</t>
  </si>
  <si>
    <t>Car, Francisco</t>
  </si>
  <si>
    <t>Francisco Car</t>
  </si>
  <si>
    <t>l Ayudante D. Ambrosio Pinedo; á. Ayudante al Teniente D. Tomas Ortega; á Tenientes á los Alféreces D. Francisco Car- cer, D. Juan Manuel Marín, D. Manuel Garayo, D. Joseph Arenas,Don Joaquín Foruer , D. Pedro Alcántara Ruiz y D. Vicente Asco ; á Alféreces á los Portaguiones D. Juan Rondeau , D.</t>
  </si>
  <si>
    <t>Caraborda y Nudez, Fernando</t>
  </si>
  <si>
    <t>Fernando Caraborda y Nudez</t>
  </si>
  <si>
    <t>otra del Gobierno de la ciudad •de Llerena, en la orden dé Santiago, de primera clase ó entrada, á.Don Fernando Caraborda y Nudez; y para otra de la villa de Villatobas, en la misma orden, de primera clase o entrada, y de nueva creación, á Don Juan Meneses Calvete, En América. El Rey se ha servido nombrar pa</t>
  </si>
  <si>
    <t>Carballar, Juan</t>
  </si>
  <si>
    <t>Juan Carballar</t>
  </si>
  <si>
    <t>roquial de S. Martin de ía villa de Alburquerque, ep la diócesis de Badajoz, vacante por ascenso de D. Juan Carballar á otro de Chinchilla, á D. Joseph González de Orduña y Zarzosa. ‘ En el Real cuerpo de Artillería ha promovido S. M. á Capitán primea ro al Capitán segundo D. Ignacio^de Vargas; á</t>
  </si>
  <si>
    <t>Carballo, Antonio</t>
  </si>
  <si>
    <t>Antonio Carballo</t>
  </si>
  <si>
    <t>anaderos; á esta resulta al de fusileros D. Antonio .Moreno; á la de esté al Subteniente de bandera D. Antonio Carballo, y á b que este dexa al Sargento primero de granaderos D. Antonio Boza. También ha nombrado S. M. Alférez de una de las compañías de infantería ligera de Cataluña, fixas de la Hav</t>
  </si>
  <si>
    <t>Carbia, Alexandro</t>
  </si>
  <si>
    <t>Alexandro Carbia</t>
  </si>
  <si>
    <t>fe de brigada al Capitán primero D. Andrés de la Rúa; á Capitanes primeros á los Capitanes segundos D. Alexandro Carbia y D. Vicente Chami</t>
  </si>
  <si>
    <t>Carbonell y Bravo, Francisco</t>
  </si>
  <si>
    <t>Francisco Carbonell y Bravo</t>
  </si>
  <si>
    <t>za en la de Polo. Elementos de farmacia, fundados en los principios de la química moderna: su autor D. Francisco Carbonell y Bravo &amp;c. Esta obra contiene los fundamentos de la farmacia que deben saber los boticarios; es muy útil á los estudiantes de medicina y cirugía para adquirir los principales conocimient</t>
  </si>
  <si>
    <t>Carcelen, Juan de Dios</t>
  </si>
  <si>
    <t>Juan de Dios Carcelen</t>
  </si>
  <si>
    <t>isio Antelo y Aguilar: la Subtenencia de granaderos en el de Chinchilla al Subteniente de fusileros D. Juan de Dios Carcelen; y las Subtenencias de bandera en los de Jaén, Avila, Ciudad-Real y Chinchilla á D. Antonio de la Peña y Benitez, D. To.i * ' 5 - 4 . .. * • . y ,. . 1 - , ' *</t>
  </si>
  <si>
    <t>Cuenca,. Xerezy Truxillo, á los Subtenientes D. Luis Ibañez de Navarra, D. Francisco García Orozco, Don Juan de Dios Carcelen, D. Rodrigo González, D. Joseph de Aulestia, D. Juan Gómez, D. Rafael Sopranis y D. Diego Bobadilla: á Subtenientes de granaderos en los de Sigiienza, Alcázar y Laredo, á los de f</t>
  </si>
  <si>
    <t>Carlisle, Lord</t>
  </si>
  <si>
    <t>Lord Carlisle</t>
  </si>
  <si>
    <t>stancias. En la Cámara de los Pares se propuso antes de ayer que se diese punto hasta el dia 19. El Lord Carlisle se levantó y dixo : ,,Que le sorpreliendia mucho que los Ministros del Rey hiciesen semejante propuesta, en circunstancias tan críticas, sin dar á la Cámara y al público la menor</t>
  </si>
  <si>
    <t>do arbitrariamente las qiiestiones, sino conteniendo á los oradores. Replicó el Lord Chanciller: el Lord Carlisle hizo una corta reflexión, y concluyó el Conde de Suffolk insistiendo en que no debía quedar sin mando el conquistador de Egigto.-,_El Lord Moira hizo lluego un largoy brillante di</t>
  </si>
  <si>
    <t>Cárlo, Archiduque</t>
  </si>
  <si>
    <t>Archiduque Cárlo</t>
  </si>
  <si>
    <t>---- Algunas personas in—1 teligentes en el arte militar aseguran que la nueva organización que el' Archiduque Cárlo.s ha dado al exército, proporciona la ventaja esencial de poder disponer todas las tropas á marchar en el tiempo mas breve posible. Aunque todos los regimientos esten completos y</t>
  </si>
  <si>
    <t>Cárloj, Archiduque</t>
  </si>
  <si>
    <t>Archiduque Cárloj</t>
  </si>
  <si>
    <t>uesas. S. A. R. el Archiduque Antonio ha tenido al recien nacido en la pila á nombre de $. A. R. él Archiduque Cárloj, á qtjien el estado de su salud no le permitió hallarse en un parage cerrado y entre un numeroso concurso. El Cardenal Flangini, Patriarca de "Venecia , asistido de varios Obispos</t>
  </si>
  <si>
    <t>Carlos Félix, Príncipe</t>
  </si>
  <si>
    <t>Príncipe Carlos Félix</t>
  </si>
  <si>
    <t>os el Archiduque Fernando y la Archiduquesa María Beatriz,en cuyo nombre las tuvieron en la pila el Príncipe Cárlos Félix, y la Princesa María Beatriz. Con tan pla’usible motivo se hicieron regalos espléndidos, y se repartieron quaiir liosas limosnas. Genova 24 de Setiembre. / E scriben de Civitavecc</t>
  </si>
  <si>
    <t>Carlos Luis</t>
  </si>
  <si>
    <t>ente dias del Sr. luíame D. Chirlos María , de la Sra. Infanta Princesa del Brasil, del Sr. Infante D. Carlos Luis, Rey de Etruria, y de la Reyna de Ñapóles. El Rey se ha servido nombrar para la Dignidad de Maestrescuela de la catedral de Avila, vacante por promoción de D. Vicente de Soto y Va</t>
  </si>
  <si>
    <t>Carlos María</t>
  </si>
  <si>
    <t>arrendar á pastó las yerbas-de invierno de la» dehesas de-encomiendas de losSermos. Síes. Infantes D. Carlos María y D.‘ Francisco de Paula, y quaiqpier labradfcr que quiéra;setabrírtls parte labrantía de di**</t>
  </si>
  <si>
    <t>ranada $ de Noviembre.. C on el plausible motivo de los días del Rey Ntro. Sr. y Sermo. Sr. Infante D. Carlos María, Hermano mayor del Real cuerpo de Maestranza de caballería de esta ciudad, tuvo este el 4 del corriente mes un lucido manejo de caballos en la plaza del Triunfo, que consistid en</t>
  </si>
  <si>
    <t>Carlos, Archiduque</t>
  </si>
  <si>
    <t>Archiduque Carlos</t>
  </si>
  <si>
    <t>ar parte del obispado de Ratisbona por algunas posesiones bávaras. J r ? . Pe Viena.escriben que el Archiduque Carlos ha dado audiencia sód lemne al Embaxador Champagny, quien le ha entregado sus'credenciales; en calidad de Ministro francés cerca del Gran Maestre de la órdeií Teutónica. _ Londres</t>
  </si>
  <si>
    <t>onte. Han llegado estos dias 4 caballos hermosos de montar, que*el Rey de Inglaterra ha regalado al Archiduque Carlos. - Se han despachado correos á los principales gobiernos de Europa con unas cartas latinas del Emperador, participando el nacimiento del Gran Duque Francisco Carlos Joseph. Las qu</t>
  </si>
  <si>
    <t>Los religiosos de los conventos suprimidos podrán permanecer en su clausura el resto de su vida. El Archiduque Carlos continua en mejoradlos ramos militares de la monarquía austríaca. Ha dirigido una circular al Consejo áulico de Guerra de Viena, á todos los comandantes en xefe de las tropas y ot</t>
  </si>
  <si>
    <t>e del primer Cónsul, que haga que las tropas inglesas evacúen el Egipto conforme á los tratados. El Archiduque Cárlos ha dirigido estos dias al Consejo de Guerra una orden , aprobada por S. M. I., en virtud de la qual se da á este departamento una organización mas conforme á su ñn ; y haciendo nu</t>
  </si>
  <si>
    <t>ormar , un código sistemático militar para la monarquía austríaca. Debe presentarle este trabajó al Archiduque Carlos; y obtenida su aprobación, se pausará á la ratificación del Emperador \ y hecho , se publicará como ley fundamental del estado. El profesor Palmer ha descubierto un mixto para pre</t>
  </si>
  <si>
    <t>En fundiéndose está hecho el barniz, y se puede emplear como el común. n Viena 13 de Febrero. I Ll Archiduque Carlos se halla muy mejorado: está levantado casi todo el dia, y los médicos anuncian que ya 110 se darán al público mas noticias del estado de su enfermedad. El Feld-Mariseal de Collore</t>
  </si>
  <si>
    <t>os hijos del Príncipe de Saxonia, con quienes pasó muchos años en Gothinga y Brunswick. S. A. S. el Archiduque Carlos ha vuelto al despacho desde el día 24; pero aun no ha salido en público._-Desde el i.° de Febrero se puso en planta la nueva organización del Consejo de Guerra, y ha merecido la a</t>
  </si>
  <si>
    <t>iliano ha sido recibido el 7 caballero de la orden leu tónica , presidiendo el capítulo S. A. R. el Archiduque Cárlos como su Gran Maestre. Asistieron-los augustos padres del nuevo caballero,' y muchos Príncipes y caballeros. Después déla ceremonia dio el-Archiduque Garlos u,n espléndido banquete</t>
  </si>
  <si>
    <t>r aviso fué este Comendador con la fragata la Rota, de Marsella á Argel. Francfort 18 de Marzo. E 1 Archiduque Cárlos como Ministro de Guerra y en virtud de las facultades ilimitadas que le ha concedido su hermano el Emperador, acaba de publicar la nueva organización de las comandancias provincia</t>
  </si>
  <si>
    <t>cillería de Estado, y hecho que le presenten las actas. \ ,■ ; : ;f; S. M. I. acaba de autorizar al Archiduque Carlos ¿ Ministro de Guerra , para introducir en los varios departamentos de su ministerio la misma organización que eu el Consejo, siendo el objeto principal simplifi—</t>
  </si>
  <si>
    <t>áxéles de- guerra para proteger nuestro co** xnercio eri el mar Adriático. Por orden de S. A. R. el Archiduque Carlos deben juntarse las tropas de; la Alta y Baxa Austria el 10 de Setiembre cerca de Minkendorff (en las cercanías de Viena) para formar un campamento, el qual se compondrá de 21 batallo</t>
  </si>
  <si>
    <t>icitud de un gran número de personas que han influido y desean el bien del. estado:, á agregarse al Archiduque Carlos para llevar juntos .las riendas del gobierno. Este objeto ha sido tratado en muchas juntas de un Consejo de Estado extraordinario, al que ha asistido la Emperatriz, los hermanos d</t>
  </si>
  <si>
    <t>entre las cortes de Munich, Viena y Berlín. Para el io del mes próximo se espera en Mergentheim al Archiduque Carlos. Este Príncipe debe pasar sucesivamente á diferentes provincias de la monarquía para inspeccionar las tropas y hacerlas maniobrar. El sistema militar del Austria ha tomado una nue</t>
  </si>
  <si>
    <t>e S. M. se separase de los negocios°por algún tiempo. Con este motivo quedará encargado S. A. R. el Archiduque Carlos de la administración general de la monarquía austríaca durante la ausencia del Emperador, que va á tomar las aguas de Badén. En</t>
  </si>
  <si>
    <t>a de los que creen que el eñemigo no tiene conocimiento del terreno, dice que en 1799 le entregó el Archiduque Cárlos un papel , que se le encontró á un General francés,y que era un plan de invasión contra la Inglaterra tan circunstanciado, que hasta se hallaba señalado el camino que debía seguir</t>
  </si>
  <si>
    <t>dios Convenientes para volver á la ciudad de Vbnecia su antiguo esplendor. El plan propuesto por el Archiduque Carlos de conferir á Venecia los privilegios de puerto franco, parece que se adoptará; cuya decisión esperan con impaciencia los negociantes de esta ciudad. Su banco se sabe que de 6 años á</t>
  </si>
  <si>
    <t>ucto se destinará únicamente á dicho objeto. Escriben de Lemberg que ha llegado á aquella ciudad el Archiduque Carlos, y que están ya reunidas la mayor parte de las tropas que han de formar el campamento cerca de Navavia. El nuevo Ministro de S. M. el Rey de las Dos Sicilías cerca de nuestra cort</t>
  </si>
  <si>
    <t>14 de Setiembre., OS. MM. II. han llegado ayer de Badén, y hoy pasarán á Luxemburgo---- S. A. R. el Archiduque Cárlos llego el 10 á esta capital, y fué inmediatamente á reunirse enBaden con el Emperador. Mañana seguirá para el campo de Minkendorf., Por orden del Ministro de Guerra ha hecho Mr. Wí</t>
  </si>
  <si>
    <t>o de S. M. I. un mes de sueldo á los oficiales y medio á los soldados á título de gratificación. El Archiduque Carlos irá á Minkendorf por Hungría, en donde ya se preparaban fiestas para recibirlo. Londres $ de Setiembre. S egun las cartas recibidas a}rer de Dublin continúan los arrestos de varia</t>
  </si>
  <si>
    <t>buenos efectos que habian tenido ¡sus muchos experimentos, hechos en grande, presentó á S. A. R. el Archiduque Cárlos un plan muy exacto sobre el establecimiento de tenerías militares,en que ios soldados mismos adoben las pieles para el uso del exército imperial. S. A. R. se ha dignado admitir co</t>
  </si>
  <si>
    <t>iales en que se ha examinado la proposición hecha en nombre del comercio de Venecia, apoyada por el Archiduque Cárlos , de declarar á esta ciudad puerto franco, y asegurar el banco , que de 5 años á esta parte ha experimentado pérdidas considerables, á causa de que han estado discordes los votant</t>
  </si>
  <si>
    <t>en Viena, á unanimidad de votos, para Coadjutor del Gran Maestre de la orden Teutónica S. A. R. el Archiduque Cárlos, á su hermano el Archiduque Antonio. El 18 de este mes se supo en Viena el fallecimiento del Duque de Módena, en el día de Brisgaw, é inmediatamente se despachó un correo con la n</t>
  </si>
  <si>
    <t>Carlos, Príncipe</t>
  </si>
  <si>
    <t>Príncipe Carlos</t>
  </si>
  <si>
    <t>rte* np se opondrán á que se le confiera igual dignidad al Gran; Maestre-dé. 1¿ orden Teutónica, el Príncipe Carlos. ; i;. - lo Elciud. Bacher, Encargado de Negocios cerca de la Dieta por el go* bierno francés, lo será también cerca;del Elector Archicanciller; lo mis-í mo van haciendo los otros</t>
  </si>
  <si>
    <t>Carmona, Manuel Salvador</t>
  </si>
  <si>
    <t>Manuel Salvador Carmona</t>
  </si>
  <si>
    <t>nal, á 320 rs. =22Estampa del quadro de la alegoría de Carlos in, pintado por Solímena, grabada por D. Manuel Salvador Carmona, en 20 rs. =22Estampa del quadro alegórico de la fundación de esta Real Academia , pintado por Don Antonio González , grabada por D. Juan Bernabé Palomino, en 15 rs.22= Vista Desc</t>
  </si>
  <si>
    <t>Carnicero, Antonio</t>
  </si>
  <si>
    <t>Antonio Carnicero</t>
  </si>
  <si>
    <t>s Reales: retratos de SS. MM. grabados por D. Juan Brunetti, copiados por los dibuxos originales de D. Antonio Carnicero. Se hallarán en la librería de Escribano, calle de las Carretas , á 6 rs. EN LA IMPRENTA REAL.</t>
  </si>
  <si>
    <t>de España , Reyes de Etruria , grabados por D. Juan Brunetti, copiados de los dibuxos originales de D. Antonio Carnicero, Pintor de Cámara &amp;c. Se hallarán en la librería de Escribano, calle de las Carretas, á 6 rs. sueltos y á 5 toda Ja colección. Gracioso minuete , compuesto sobre el tema de la cav</t>
  </si>
  <si>
    <t>Sra. Princesa de Astúrias, nuevamente grabado de perfil por D. Juan Bmnetti del dibuxo original de D. Antonio Carnicero, Pintor de Cámara de S. M. Se hallará en la librería de Escribano, calle de las Carretas, á 6 rs. sueltos, y a 5 toda la colección. EN LA IMPRENTA REAL.</t>
  </si>
  <si>
    <t>arlos María Isidro, Infante de España, grabado por D. Juan Brunetti, copiado del dibuxo original de D. Antonio Carnicero , Pintor de Cámara de S. M. &amp;c. Se hallará en la librería de Escribano, calle de las Carretas, á 6 rs. sueltos , y á 5 toda la colección. En la librería de Campo , calle de Alcalá</t>
  </si>
  <si>
    <t>Caro y Gini, Antonio</t>
  </si>
  <si>
    <t>Antonio Caro y Gini</t>
  </si>
  <si>
    <t>para la de Cartagena á D. Manuel Saiz de Villegas: para una de las Varas de la ciudad de Zaragoza á D. Antonio Caro y Gini: para la de la ciudad de Lérida á D. Francisco Xavier García: para la de Granollers á D. Manuel Esteban Balmaseda: para la de Morella á D. Juan Pedro Aviles; y para la Vara de Alc</t>
  </si>
  <si>
    <t>Carpegna, Felipe</t>
  </si>
  <si>
    <t>Felipe Carpegna</t>
  </si>
  <si>
    <t>io Real cuerpo á los Cadetes D.Vicente González Moro* del regimiento de infantería de Mallorca, y á D. Felipe Carpegna, de</t>
  </si>
  <si>
    <t>Carrancio, Vicente</t>
  </si>
  <si>
    <t>Vicente Carrancio</t>
  </si>
  <si>
    <t>vacante por promoción de D. Felipe de Rena y Sobral á una Canongía de la metropolitana de Bárgosfá D. Vicente Carrancio, con retención de la Canongía que obtiene en dicha colegial: pa^ xa la Canongía que obtenía también en ella el referido D. Felipe de Rena y Sobral á D. Juan García Ximenez: para e</t>
  </si>
  <si>
    <t>Carrasco, Juan Vicente</t>
  </si>
  <si>
    <t>Juan Vicente Carrasco</t>
  </si>
  <si>
    <t>e vivo: escrita en francés por el ciud. Dumas, del Instituto nacional. de Francia , y traducida por D. Juan Vicente Carrasco. 3, Esta obra ofrece una historia exacta del hombre.vivo y de sus relaciones, indagando los fenómenos vitales, su mecanismo y causas : carecíamos de esta parte de la medicina que</t>
  </si>
  <si>
    <t>ancia , profesor de anatomía y fisiología en la escuela de medicina de Mompe11er &amp;c.: traducida por D. Juan Vicente Carrasco. Quaderno 2.0, en el que concluye eí capítulo de la ciencia anatómica del hombre, y las relaciones que tiene con Jas matemáticas, la historia natural y la química ; y siguen , el</t>
  </si>
  <si>
    <t>Carrera, Juan</t>
  </si>
  <si>
    <t>Juan Carrera</t>
  </si>
  <si>
    <t>eal cuerpo de Artillería se ha dignado S. M. promover á Capitanes primeros á los Capitanes segundos D. Juan Carrera, D. Joseph Michan, D. Gregorio Pardo, D. Joseph Lana, D. Juan Sánchez, D. Joseph Ruiz, D. Francisco-Reyna y D. Joseph Vergara. El Rey ha nombrado en el Real cuerpo de Ingenieros C</t>
  </si>
  <si>
    <t>Carreras, Luis</t>
  </si>
  <si>
    <t>Luis Carreras</t>
  </si>
  <si>
    <t>n la de" Navarro, en Barcelona en la de Sierra, en Granada en la de Zorrilla,y en Málaga en casa de D. Luis Carreras. Discurso histórico-legal sobre el origen, progresos y utilidad de la Inquisición de España: un tomo en 8.° Segunda edición, por haberse acabado la primera, que se jmbiicó en la g</t>
  </si>
  <si>
    <t>Carrero, Joseph</t>
  </si>
  <si>
    <t>Joseph Carrero</t>
  </si>
  <si>
    <t>.Juan Zavaía,'y á'Subtenientes ele bandera á los Cadetes D. Ignacio Urruh. itia y D. Joseph Carrero , y al Sargento primero D. Miguel Avila. Asimismo sé ha‘servido S. M. nombrar para la plaza de Regente de laReal Audiencia de Buenos-Ayres, vacante por promoción de D. Benito de l</t>
  </si>
  <si>
    <t>Cárrillo de Albornoz, Pedro</t>
  </si>
  <si>
    <t>Pedro Cárrillo de Albornoz</t>
  </si>
  <si>
    <t>ntonio Senent: en el de Córdoba á Subteniente de bandera al Cadete del de Reales Guardias Españolas D. Pedro Cárrillo de Albornoz: en el primer batallón de Voluntarios de Aragón á Capitán primero al Capitán segundo del segundo batallón de Voluntarios de Aragón D. Joseph Abancens: jen el batallón de Voluntari</t>
  </si>
  <si>
    <t>Carrillo Mayoral, Joaquín</t>
  </si>
  <si>
    <t>Joaquín Carrillo Mayoral</t>
  </si>
  <si>
    <t>ante por translación del Sr. D. Ramón Falcon de Salcedo á la Iglesia y Ob ispado de Cuenca , al Sr. D. Joaquín Carrillo Mayoral, Dean primera silla y Canónigo de la catedral de Lérida *, y para el de Pamplona, vacante también por translación del limo. Sr. D. Lorenzo Igual de Soria á la Iglesia y Obispado d</t>
  </si>
  <si>
    <t>Carrillo y Luna, Joseph</t>
  </si>
  <si>
    <t>Joseph Carrillo y Luna</t>
  </si>
  <si>
    <t>del mismo Sacromonte: para una Media-Ración de la catedral de Málaga, vacante por fallecimiento de D. Joseph Carrillo y Luna, á D. Francisco Rafael de Fslaba: para el Beneficio Préstamo del lugar de Arroyo de Cuellar, en la diócesis de Segovia, vacante por muerte de D. Tomas de Fscovar, a</t>
  </si>
  <si>
    <t>Carriola, Vicente</t>
  </si>
  <si>
    <t>Vicente Carriola</t>
  </si>
  <si>
    <t>de Capitán, D. Diego Torrealba: en el de América Tenencias á los Subtenientes D. Santiago Cermeño, Don Vicente Carriola y D. Juan TJgartemendia: en el de Extremadura Compañía al Ayudante, graduado de Capitán, D. Joseph Bernad; y en el de</t>
  </si>
  <si>
    <t>Carro</t>
  </si>
  <si>
    <t>baxo el barómetro grado y medio baxo de cero, y ha sido el primer dia que ha helado en este año. El Dr. Carro ha escrito la carta siguiente á los Redactores de la Biblioteca británica, fecha en Viena á 27 de Agosto próximo pasado. „Señores, siendo tan notorias las utilidades de la vacunac</t>
  </si>
  <si>
    <t>Carro, Dionisio</t>
  </si>
  <si>
    <t>Dionisio Carro</t>
  </si>
  <si>
    <t>o D. Gregorio Prieto: en el de Montesa el empleo de Portaestandarte al Sargento segundo distinguido D. Dionisio Carro; y en el de Húsares de Olivencia Compañías á los Tenientes, graduados de Capitán, D. Antonio García y D. Juan Monsalve. Mn América. S. M. se ha servido conferir el empleo de Coron</t>
  </si>
  <si>
    <t>Carvallo, Joseph</t>
  </si>
  <si>
    <t>Joseph Carvallo</t>
  </si>
  <si>
    <t>mundo de CaMrojá Ayudante al Teniente D. V icente Duran ; á Teniente de granaderos al ce u'ile— ros D. Joseph Carvallo ; á Tenientes á los Subtenientes de gianacieres D. Joseph Langles y D. Ventura Bustillos ; á Subtenientes ce granaderos á los de fusileros D, Antonio Ortega y D. Joseph Aristizaba</t>
  </si>
  <si>
    <t>infantería del Rey fixo de Manila, en América, ¿e ha servido el Rey promover á Capitán al Teniente D. Joseph Carvallo; á Teniente de granaderos al de fusileros D. Segismundo Sartori; á Tenientes á los Subtenientes de granaderos D, Antonio Ortega y D. Joseph Aristizabal; á Subtenientes de granader</t>
  </si>
  <si>
    <t>Carvallo, Luis</t>
  </si>
  <si>
    <t>Luis Carvallo</t>
  </si>
  <si>
    <t>ón de Bolívar, D. Miguel Uztariz y D. Agustín Carvallo: á Subteniente de granaderos al de fusileros D. Luis Carvallo; y {\ Subteniente de fusileros á D. J oseph María Paz del Castillo, Teniente de las compañías urbanas de S. Luis de Cura. El Real colegio académico de profesores de primeras letra</t>
  </si>
  <si>
    <t>Carysfort, Lord</t>
  </si>
  <si>
    <t>Lord Carysfort</t>
  </si>
  <si>
    <t>urso de gracias á S. M. por su benignísimo mensage, y que no deben distraerse á otros puntos, i_-El Lord Carysfort manifiesta su sorpresa de que se quiera coartar la libertad de los debates, no solo ciñendo arbitrariamente las qiiestiones, sino conteniendo á los oradores. Replicó el Lord Chanc</t>
  </si>
  <si>
    <t>Casal, Joseph</t>
  </si>
  <si>
    <t>Joseph Casal</t>
  </si>
  <si>
    <t>promover á Alféreces á los Cadetes D. Ramón Fernandez y D. Joseph Manuel de Victoria, y al Sargento D. Joseph Casal. Para el empleo de Ayudante mayor del esquadron de dragones de América, fixo de la Havana, se ha servido nombrar el Rey al Capitán D. Manuel de Muro, Teniente del regimiento de ca</t>
  </si>
  <si>
    <t>Casamayor, Bernardo</t>
  </si>
  <si>
    <t>Bernardo Casamayor</t>
  </si>
  <si>
    <t>dro Tejada: en el de ‘ la Princesa Compañía al Teniente'de granaderos, también graduado de Capitán, D. Bernardo Casamayor: en el de Málaga Compañía al Caballero Page de S. M. D. Joseph Luco: en el de Voluntarios db Castilla Tenencia al Subteniente de granaderos-D. Domingo Conde: en el de Granaderos V</t>
  </si>
  <si>
    <t>Casamayor, Salvador</t>
  </si>
  <si>
    <t>Salvador Casamayor</t>
  </si>
  <si>
    <t>para otra Canonjía de la catedral de Málaga, vacante por fallecimiento de D. Diego Sánchez Rando, á D. Salvador Casamayor: para otra Canongía de la misma catedral, vacante por muerte de IX Bernardo Espinosa, aD, Joaquin Castani de Sotomayor, Dean de la de Ceuta: para otra Canongía ¿e la colegial de V</t>
  </si>
  <si>
    <t>Racionero de la misma colegial: para una Ración de la catedral de Málaga, vacante por promoción de D. Salvador Casamayor á una Canongía de la misma catedral, á D. Francisco Panuncio Criado, Cura de la parroquial de los Santos Mártires de aquella ciudad: para una Media-Ración de la catedral de Calaho</t>
  </si>
  <si>
    <t>Casano y Dátoli, Antonio</t>
  </si>
  <si>
    <t>Antonio Casano y Dátoli</t>
  </si>
  <si>
    <t>y Gutiérrez, D. Joseph Ventades y Martínez, D. Joseph Tabemet y Pavía, D. Antonio Isasi y Betevin, D. Antonio Casano y Dátoli, D. Mateo Chardenaux y Rodríguez, D. Pablo Argaiz y Aranguren, D. Pablo Ventades y Martínez, D. Agustín Salazar y Allendelagua, Don Juan Pusterla y Lerin, D. Pedro del Barco y la</t>
  </si>
  <si>
    <t>Casanova de Arnuero y Rada, Tomás</t>
  </si>
  <si>
    <t>Tomás Casanova de Arnuero y Rada</t>
  </si>
  <si>
    <t>. Se hallará con los anteriores en el despacho de la imprenta Real. A virtud de providencia del Sr. D. Tomas Casanova de Arnuero y Rada, Caballero pensionado de la Real y distinguida orden española de Carlos ni,del Consejo de S. M., su Alcalde honorario del crimen de la Real Audiencia de Aragón, Corregidor, Justic</t>
  </si>
  <si>
    <t>Casanova, Juan</t>
  </si>
  <si>
    <t>Juan Casanova</t>
  </si>
  <si>
    <t>ri; ai Xefe de brigada D. Juan de Hara y al Capitán primero D. Joaquín Navarro: á los de Ingenieros D. Juan Casanova y D. Antonio Jacot; y á ios Sargentos mayores de brigada D. Antonio Benavides y D. Mariano Fernandez de Folgueras. De Teniente Coronel, también de infantería, , al Xefe de brigada de</t>
  </si>
  <si>
    <t>Casánovas, Domingo</t>
  </si>
  <si>
    <t>Domingo Casánovas</t>
  </si>
  <si>
    <t>e de ellos, se servirá entregarlos en Madrid a los Sres. Franch, Sobrino y compañía, en Barcelona á D. Domingo Casánovas, calle de Ja Merced,, y en Centellas al referido D. Andrés Vila.. _ ___ _ A / y no habiendó^ legado af interesado,' se suplica- a! súgeto en cuyo poder se halle le entregúe á'dich</t>
  </si>
  <si>
    <t>Casen, Cardenal</t>
  </si>
  <si>
    <t>Cardenal Casen</t>
  </si>
  <si>
    <t>stante,Lds.Corsarios maltes.es. hacen.runchas presas en la costa ce poniente.. - Ha llegado aquí el Cardenal Casen i qüe viene de Madrid para Roma. Y* : f ... Moni-de^ Mar san 28 de Agosto. XMr lá correspondencia- de Burdeos bemofcfreflidoonf&amp;ictájquedos ? Jfigler .5es- habían hecho.una tentat</t>
  </si>
  <si>
    <t>Casiano Arsú</t>
  </si>
  <si>
    <t>En el Real cuerpo de Artillería se ha dignado S. M. promover á Teniente Cororíel al Xefe de brigada D. Casiano Arsú; á Xefe de brigada al Capitán primero D. Antonio de la Cruz; á Capitán primero al Capital* segundo D. Ramón Pola; á Capitanes segundos á los Tenientes D. Joseph Aguílar, D. Fernan</t>
  </si>
  <si>
    <t>Casimiro Antonio Gómez</t>
  </si>
  <si>
    <t>de dicho Sr. juez entre doce y una de su mañana. Quien quisiere hacer postura acudirá al oficio de D. Casimiro Antonio Gómez. En virtud de providencia del Sr. Teniente de Corregidor D. Torquato Antonio Collado se ha mandado citar, llamar y emplazar á los parientes dentro del quarto grado del Excmo. Sr.</t>
  </si>
  <si>
    <t>9°4 quisiere hacer mejora acuda á la escribanía del numero de D. Casimiro Antonio Gómez;en inteligencia de que ha de rematarse el dia 27,de doce á una de su mañana , en la audiencia del Sr. D. Torquato Antonio Collado, Teniente Corregidor de Madrid. Por providencia d</t>
  </si>
  <si>
    <t>Casimiro Falces</t>
  </si>
  <si>
    <t>. M. se ha servido nombrar para una Canongía de la catedral de Lérida, vacante por fallecimiento de D. Casimiro Falces , á D. Manuel del V filar. El Rey se ba servido conceder en el regimiento de infantería de la Reyna Ayudantía al Teniente D. Fernando Gaber: en el de Africa Tenencia al Subtenient</t>
  </si>
  <si>
    <t>Casó, Diego</t>
  </si>
  <si>
    <t>Diego Casó</t>
  </si>
  <si>
    <t>; y para otro Beneficio de S. Pedro de las Puellas de la ciudad de Barcelona, vacante por muerte de D. Diego Casó, á D. Joseph Antonio Pi. En el regimiento de infantería de Zaragoza se ha servido S. M. promover á Subtenientes de bandera á D. Francisco Ruiz y á D. César dé Miranda, Sargento pr</t>
  </si>
  <si>
    <t>Casou, Juan</t>
  </si>
  <si>
    <t>Juan Casou</t>
  </si>
  <si>
    <t>da en la Real casa Aduana, y en las provincias á los comisionados siguientes: En Alicante....... .. D. Juan Casou y compañía. En Avila..............D. Fernando Echepare y sobrinos. En Badajoz..... .....D. Esteban de V aldivielso. En Barcelona...... D, Ramón de Llordella é hijo. En Burgos.......</t>
  </si>
  <si>
    <t>ada én la Real casa Aduaná, y en las provincias á los comisionados siguientes: En Alicante..........D. Juan Casou y compañía. En Avila.............. D. Fernando Echepare y sobrinos. En Badajoz.......... D. Tomas Merino Ortiz. En Barcelona.......D. Ramón de Llordella é hijo. En Burgos........ .</t>
  </si>
  <si>
    <t>Castalio, Manuel</t>
  </si>
  <si>
    <t>Manuel Castalio</t>
  </si>
  <si>
    <t>a Gutiérrez: para otra de la Catedral de Palencia, vacante¡por fallecimiento de D. Angel Velasco, á D. Manuel Castalio: para otra de la de Guadix , vacante por muerte de D. Gumesindo Ortiz, á D. Benito Caballero,, Gobernador, Provisor y Vicariorgeneral de aquel obispado: f&gt;ara otra de la de Os uva</t>
  </si>
  <si>
    <t>Castañeda, Antonio</t>
  </si>
  <si>
    <t>Antonio Castañeda</t>
  </si>
  <si>
    <t>l reo. El Rey se ha servido promover á Capitán en el regimiento de cazadores de Sagunto al Ayudante D. Antonio Castañeda ; y á Alférez en el de Villaviciosa al Sargento D. Gerónimo de Luque. Asimismo se ha dignado S. M. conferir Compañía en el regimiento de húsares de Olivencia á D. Luiz González, C</t>
  </si>
  <si>
    <t>Castañeda, Joseph</t>
  </si>
  <si>
    <t>Joseph Castañeda</t>
  </si>
  <si>
    <t>en pasta. 2= Compendio de la Arquitectura de Vitruvio de Mr. Perrault, traducido al castellano por D. Joseph Castañeda, un tomo en 8.° marquílla, á 12 rs. en pergamino. 2222 Actas de la Real Academia de S. Fernando , desde su solemne abertura en el año de 1752 hasta el de 1799, 18 quadernos en 4.0</t>
  </si>
  <si>
    <t>Castañedo, Juan</t>
  </si>
  <si>
    <t>Juan Castañedo</t>
  </si>
  <si>
    <t>895 Aufcteniemte -de bandera D. Juan Castañedo, y á la que este dexa aL Cadete D. Juan Florencio Durel. El /bergantín correo de la Real armada nombrado S. Antonio, zarpó de lo« -puertos de Veracruz y la Havana en 26 de Julio y</t>
  </si>
  <si>
    <t>Castañer, Joseph</t>
  </si>
  <si>
    <t>Joseph Castañer</t>
  </si>
  <si>
    <t>ingo de Calzada, en Madrid á D. Pedro de Zubiaga , en Cádiz á D. Domingo de He ras , en Barcelona á D. Joseph Castañer, y en Santander á D. Matías de Heras Soto. Quien quisiere comprar una casa en la cálle de la Flora de esta villa, núm. 7, que da vuelta á la calle sin salida, y tiene de sitio 2 s</t>
  </si>
  <si>
    <t>Castaño y Asensio, Manuel</t>
  </si>
  <si>
    <t>Manuel Castaño y Asensio</t>
  </si>
  <si>
    <t>ténericiáj de bandera al -Sargento primero D. Andrés Peréz : en el dé León Capélláhíá ái presbítero D. Manuel Castaño y Asensio: en el de Asturias Compañía al Teniente de granaderos, graduado de Capitán, D. Jacobo Casal; Ayudantía al Teniente, con igual grado, D. Francisco Toro, y Subtenencia de bandera al</t>
  </si>
  <si>
    <t>Castañon, Manuel Antonio</t>
  </si>
  <si>
    <t>Manuel Antonio Castañon</t>
  </si>
  <si>
    <t>scodía^y Oanongía unida ,' vacante en ia ¡catedral de* Tu y por. muerte de Di joseph Ruiz Manjon, á D. Manuel Antonio Castañon: para la Dignidad-de.Cliantre-de la catedral de Santander, vacante por fallecimiento: de D. Antonio Ibañez , i D. Juan Francisco Gutiérrez Valdés: para la Canongía, que este obtie</t>
  </si>
  <si>
    <t>Castelar y Baño, Joseph</t>
  </si>
  <si>
    <t>Joseph Castelar y Baño</t>
  </si>
  <si>
    <t>Mediterráneo; D. Juan Áicaraz para Puerto-Rico y la Havana, en donde fué examinado y hecho Pilotín; D. Joseph Castelar y Baño para Francia é Italia; D. Lorenzo Llorca para Barcelona; D. Vicente Aicaraz para Francia, y D. Manuel Legaspe para América, todos ellos de agregados al pilotage, por salir examina</t>
  </si>
  <si>
    <t>Castelar, Francisco</t>
  </si>
  <si>
    <t>Francisco Castelar</t>
  </si>
  <si>
    <t>a según los cálculos, monedas de cambio, y otros particulares que en cada una de ellas se usan, por D. Francisco Castelar, del comercio de la ciudad de Alicante. Se hallará en la librería de Dávila, calle de las Carretas. La Leatad murciana : rasgo poético en dos cantos, escrito á solicitud de la ilu</t>
  </si>
  <si>
    <t>Castellanos, Francisco</t>
  </si>
  <si>
    <t>Francisco Castellanos</t>
  </si>
  <si>
    <t>Setíembree se extravió un vale de 150 pesos, creación de Enero, numero 314738, endosado i Favor de D. Francisco Castellanos: quien supiere de él lo entregará á D. Doitrúngo de la Barcena, bascada de Sra. Cruz, núm. 6, tienda de fierro. Con Real facultad se renden dos casas unidas , calle de la Platería</t>
  </si>
  <si>
    <t>Castellanos, Francisco Antonio</t>
  </si>
  <si>
    <t>Francisco Antonio Castellanos</t>
  </si>
  <si>
    <t>de dicha ciudad; y para una Media-Ración de la catedral de Santiago de Cuba, vacante por muerte de D. Francisco Antonio Castellanos , á D. Juan Antonio de Uribe, Secretario, de Cámara del R. Obispo que fue de Puerto-Rico D. Fr. Juan Bautista de. Zengotica. Fn ia extracción de la Real lotería ejecutada el lunes</t>
  </si>
  <si>
    <t>Castelreagb, Lord</t>
  </si>
  <si>
    <t>Lord Castelreagb</t>
  </si>
  <si>
    <t>tando reunido para la común defensa , seria invencible , en cuya atención votó á favor del bilí. El Lord Castelreagb hizo un largo discurso en que manifestó el buen concepto que tenia de los cuerpos voluntarios ; pero al mismo tiempo hizo presentes varios inconvenientes que se oponian á su forma</t>
  </si>
  <si>
    <t>Castelreagh, Lord</t>
  </si>
  <si>
    <t>Lord Castelreagh</t>
  </si>
  <si>
    <t>ses, podían proporcionar unos servicios muy útiles;, y concluyó votando á ravor de la propuesta. El Lord Castelreagh contestó diciendo que estos oficiales habían ya hecho la oferta de sus servicios en unos términos que manifestaban su patriotismo ; y que hubiesen ó no sido aceptados, el gobierno</t>
  </si>
  <si>
    <t>ianda se había hecho acreedor á la censura mas severa. El Lord Castelreagh dixo que en la última sublevación de Irlanda se descubrió y sosegó la rebelión antes que el Lord Teniente diese parte de ella al Parlamento; para que este adoptase los medios cond</t>
  </si>
  <si>
    <t>Castilla, Vicente</t>
  </si>
  <si>
    <t>Vicente Castilla</t>
  </si>
  <si>
    <t>á Subteniente de granaderos al de fusileros D. Eugenio Lúeas, y á Subtenientes de bandera al Cadete D. Vicente Castilla y al Sargento primero de granaderos D. Joseph Perez; y en el de infantería de Nueva-España á Teniente al Subteniente D. Manuel Cubillas; á Subtenientes de granaderos á los de fusile</t>
  </si>
  <si>
    <t>Castillejo, Joseph María</t>
  </si>
  <si>
    <t>Joseph María Castillejo</t>
  </si>
  <si>
    <t>decencia y custodia correspondiente. En seguida de lo qual se sirvió en las casas del Sr. Teniente D. Joseph María Castillejo un abundante refresco, á que fueron convidados los magistx'ados, cuerpos y principal nobleza de esta ciudad. ^ Santander 8 de Noviembre. E n cumplimiento de lo presciripto en la i</t>
  </si>
  <si>
    <t>Castillo, Ramón</t>
  </si>
  <si>
    <t>Ramón Castillo</t>
  </si>
  <si>
    <t>rPe.rez;, J).,Jot;gy Viilers y D. Joseph Recio; ájSubte•iíiente-s;dq.&gt;gmaa&amp;etos 4; los- BeJusilevps D. Ramón Castillo ,,.D. Rafael Gavino Zequeyra y D. Ignacio Loysel; á Subtenientes, de compañía á Los de bandera D. Pedro Mor^ll, p. Gabriel Me noca!, D. Joseph de Córdoba y D. Manuel González, y á</t>
  </si>
  <si>
    <t>Castlereagh Scc, Lord</t>
  </si>
  <si>
    <t>Lord Castlereagh Scc</t>
  </si>
  <si>
    <t>Mr. WUberforce , el Secretario de la Guerra , Lord Castlereagh Scc, habláron, y Mr. WíUiam Smith propuso se aplazasen los debates, lo que se aprobó. En la junta de la Cámara de los Pares del 24 el Lord Auckland propuso se comunícase á sus Señoría</t>
  </si>
  <si>
    <t>Castlereagh, Lord</t>
  </si>
  <si>
    <t>Lord Castlereagh</t>
  </si>
  <si>
    <t>de la necesidad de hacer preparativos de defensa.”—_Mr. Whitbread apoya el discurso de Mr. Grey: el Lord Castlereagh por el contrario lo sostiene con su acostumbrada vehemencia. Continúan algún tiempo los debates; y al fin se adoptan las propuestas de Mr. Grey relativas á las vexaciones hechas e</t>
  </si>
  <si>
    <t>Castrillon, Diego</t>
  </si>
  <si>
    <t>Diego Castrillon</t>
  </si>
  <si>
    <t>de Guadix D. Tomas Rivadeneyra, ambos graduados de Capitán; y Subtenencias de bandera á los Cadetes D. Diego Castrillon y D. Romualdo T.ovar: en el de Valencia el empleo de Ayudante ai Teniente de granaderos, graduado deCapitan, D. Filomeno de la Torre : en el de! Granada Tenencia al Subteniente de gra</t>
  </si>
  <si>
    <t>Catalina Antonia de Navarro</t>
  </si>
  <si>
    <t>Reynos que por línea paterna ó materna puedan tener derecho exclusivo ó concursivo á los bienes de Doña Catalina Antonia de Navarro , que falleció en dicha ciudad el 6 de Marzo de dicho año,hija de D. Pedro Joseph de Navarro, y nieta de D. Francisco Antonio Navarro, Mayor General que fué al servicio de la casa</t>
  </si>
  <si>
    <t>Catalina Germán y Hugalde</t>
  </si>
  <si>
    <t>................D. Pedro Gil de Tejada. En Málaga............D. Juan Ximeno. En Mahon.............. Doña Catalina Germán y Hugalde* En Murcia............. Sres. Moreda y Ladalid. En Oviedo............... D. Manuel Rubiano. En Palenda.......... D. Nicolás Caionge é hijo. En Palma.............. D. Martin Mayol.</t>
  </si>
  <si>
    <t>Catalina Guzman y Hugalde</t>
  </si>
  <si>
    <t>.............D. Pedro Gil de Tejada. En Málaga...........D. Antonio Mariano. , En Mahon.............Doña Catalina Guzman y Hugalde. En Murcia............Sres. Moreda y Ladalid. En Oviedo........... D. Manuel Rubiano. En Palencia........ D. Nicolás Calonge é hijo. En Palma...... ...... D. Martin Mayol. En Pamp</t>
  </si>
  <si>
    <t>Catalina Reynoso</t>
  </si>
  <si>
    <t>or otros 15 dias mas otra casa sita en el lugar de Villaverde, perteneciente á la memoria que fundó Doña Catalina Reynoso, comprehensiva de 6751 pies de sitio, tasada en 35*950 rs. Ultimamente , se ha mandado también subastar por otros 15 dias mas 3 pedazos de tierra, su caber 22 fanegas y 9 celemine</t>
  </si>
  <si>
    <t>Catani, Joaquín</t>
  </si>
  <si>
    <t>Joaquín Catani</t>
  </si>
  <si>
    <t>l Deanato de la catedral de Ceuta, vacante por haber pasado á una Canongía de la catedral de Málaga D. Joaquín Catani, á D. Ramón Columna: para la Ración que este obtiene en la misma iglesia de Ceuta y resultará vacante á D. Francisco Ru iz Pinto ; y para la Canongía de la metropolitana de Toledo</t>
  </si>
  <si>
    <t>Catani, Pedro</t>
  </si>
  <si>
    <t>Pedro Catani</t>
  </si>
  <si>
    <t>dalaxara, vacante por promoción de D. Francisco Saavedra Carvajal á otra plaza del mismo Consejo, á D. Pedro Catani, Oidor decano de la Real Audiencia de Cuba; y para la Regencia de la Real’Audiencia de Goatemala, vacante por ascenso de D. Ambrosio de Cerdan Pontero á plaza de Fiscal del Consej</t>
  </si>
  <si>
    <t>de la Audiencia de Lima; y para una plaza de Oidor de la Audiencia de Cuba, vacante pqr ascenso d$ D. Pedro Catani á Regente de la de Guadalaxara, á D. Joseph Antonio Ramos , Corregidor de la villa de Onteniente, en el Reyno de Valencia. En la extracción extraordinaria de la Real lotería execu</t>
  </si>
  <si>
    <t>Cathcart, Lord</t>
  </si>
  <si>
    <t>Lord Cathcart</t>
  </si>
  <si>
    <t>embargo faltan armas, bien que se fabrican con la mayor actividad. Con motivo del nombramiento del Lord Cathcart á la comandancia general de Irlanda, habrá varias mudanzas en la plana mayor del exér— cito ingles. Dícese que el Conde de Moira mandará el distrito en que se halla el condado de</t>
  </si>
  <si>
    <t>Catheart, Lord</t>
  </si>
  <si>
    <t>Lord Catheart</t>
  </si>
  <si>
    <t>y tuvo una conferencia con el Rey acerca de las disposiciones militares que se trata de tomar__ El Lord Catheart presentó una silla de montar de nueva invención , para el servicio de los Guardias de Corps, y después de probarla en un caballo de ios dragones ligeros, se mandó que todas se hic</t>
  </si>
  <si>
    <t>Cátlos Rcggio</t>
  </si>
  <si>
    <t>isco M'óréjori , D. Francisco Duvreüiil, Don Juan Domínguez, D. Félix Forstáll , D. Pedro Reggio y1 D. Cátlos Rcggio, y los Sargentos primeros D. Matías Cervera, de granaderos, P Francisco Cañedo y D. Joseph Bernardo , y á Subtenientes de bandera á los Cadetes D. Bernardo Prieto, D. Cirilo Lessa</t>
  </si>
  <si>
    <t>Cauut, Basilio</t>
  </si>
  <si>
    <t>Basilio Cauut</t>
  </si>
  <si>
    <t>n la fjutata qué celebró el Consulado de Mallorca el dia 30 de Junio último presentó el Consiliario D. Basilio Cauut el escrito siguiente: ,, Señores. TodO's' sabemos que uno de los principales objetos del instituto de nuestro Consulado es el de avivar y dar fomento al comercio, y que esto se cons</t>
  </si>
  <si>
    <t>Cavan, Lord</t>
  </si>
  <si>
    <t>Lord Cavan</t>
  </si>
  <si>
    <t>tomado luto por 40 dias. Mr. Dundas, Teniente de ingenieros , y Mr. Desnods, Ayudante de campo del Lord Cavan , han copiado la inscripción de la coíuna llamada comunmente de Pompeyo ,cuyos caracteres estaban de tal modo borrados con el tiempo, que solo en los momentos en que el sol señala</t>
  </si>
  <si>
    <t>Cavanellas, Miguel</t>
  </si>
  <si>
    <t>Miguel Cavanellas</t>
  </si>
  <si>
    <t>ada edad, con otros fenómenos que constan eft la explicación y notas que incluye dicha lámina : por D. Miguel Cavanellas. =:Observaciones sobre los gases ácido*minerales, que por orden de D. Joseph Queraltó, Físico de cámara de S. M., hizo D. Miguel Cavanellas &amp;c. Se hallarán el i.° á 12 y Jas Obser</t>
  </si>
  <si>
    <t>Cavanilles y Mas, Joseph</t>
  </si>
  <si>
    <t>Joseph Cavanilles y Mas</t>
  </si>
  <si>
    <t>Oviedo , y se ha dignado nombrar en su lugar para dicha plaza de Oidor de la Audiencia.de Gajicia á D. Joseph Cavanilles y Mas , Ministro de la citada Audiencia de Asturias. . Asimismo ha nombrado S. M. para el Corregimiento de letras déla ciudad de Patencia á D. Dionisio María de Montalbo: para el de la</t>
  </si>
  <si>
    <t>Cavanilles, Antonio Joseph</t>
  </si>
  <si>
    <t>Antonio Joseph Cavanilles</t>
  </si>
  <si>
    <t>una carta del ciud. Cordier á D. Christiano Herrgen: discurso leido en el Real jardin botánico por D. Antonio Joseph Cavanilles: fascículo 3.0 de Jas plantas que el ciud. Broussonet colectó en Canárias y en Africa. Se hallará con los anteriores en el despacho de la imprenta Real. En virtud de providencia c</t>
  </si>
  <si>
    <t>e el Barón Alexandro Humboldt escribió á su hermano: extracto de otra carta que el mismo escribió á D. Antonio Joseph Cavanilles: nuevos experimentos para conservar las plantas secas: del Buyo: noticias sobre el volcan de Aibay: del género Chirostemon: del Huaco ; observa-ciones botánicas y descripción de a</t>
  </si>
  <si>
    <t>Cayanilles, Antonio Joseph</t>
  </si>
  <si>
    <t>Antonio Joseph Cayanilles</t>
  </si>
  <si>
    <t>tico: clasificación de todas las rocas : anuncio de la obra titulada Descripción de las plantas que D. Antonio Joseph Cayanilles demostró en las lecciones públicas de jBqi y 1802. Se hallará con los anteriores en el despacho de la imprenta Real. Don Lúeas Antonio del Campo, vecino de la villa de Santoña, remit</t>
  </si>
  <si>
    <t>Cayetano, Cardenal</t>
  </si>
  <si>
    <t>Cardenal Cayetano</t>
  </si>
  <si>
    <t>esías. üa* Elección de prelado, conforme á la doctrina del angélico Dr. Sto. Tomas dc Aquino y Emo. Cardenal Cayetano : discurso sólido que escribió el M. R. p. jvi. pf Juan Clavería , hijo y Regente del Real convento de Predicadores de Zaragozaobra útil y aun necesaria á todos los religiosos y r</t>
  </si>
  <si>
    <t>Cazcrla, Joseph Antonio</t>
  </si>
  <si>
    <t>Joseph Antonio Cazcrla</t>
  </si>
  <si>
    <t>os D. Juan Vicente Bolívar: á Tenientes de fusileros á los Subtenientes D. Joseph Leandro Palacios, D. Joseph Antonio Cazcrla , D. Domingo Gaiindo, D. Rafael Monasterios, D. Simón de Bolívar, D. Miguel Uztariz y D. Agustín Carvallo: á Subteniente de granaderos al de fusileros D. Luis Carvallo; y {\ Subte</t>
  </si>
  <si>
    <t>Ccefoed, Capitán</t>
  </si>
  <si>
    <t>Capitán Ccefoed</t>
  </si>
  <si>
    <t>eTe, se ha dado orden á la fragata Freya de ir inmediatamente al Mediterráneo, y en las órdenes del Capitán Ccefoed se le prescribe que tome las medidas necesarias para preservar, si se puede, de todo peligro á los buques dinamarqueses, que se hallan en aquel mar.— Nuestra rada está enteramente</t>
  </si>
  <si>
    <t>Cean Bermudez, Juan Agustín</t>
  </si>
  <si>
    <t>Juan Agustín Cean Bermudez</t>
  </si>
  <si>
    <t>en rústica y 17 en pasta. 2222 Diccionario de los mas ilustres profesores de las nobles artes, por D. Juan Agustín Cean Bermudez, 6 tomos en 8.a, á 11 rs. en rústica cada uno. 22=Real orden de S. M. sobre el examen y aprobación de los maestros arquitectos en esta Academia, papel en 4.0 á 1 2 mrs. 2222 Quade</t>
  </si>
  <si>
    <t>Cebollero, Gregorio</t>
  </si>
  <si>
    <t>Gregorio Cebollero</t>
  </si>
  <si>
    <t>4 de noviembre de 1803</t>
  </si>
  <si>
    <t>Don Manuel Díaz; á;Teniente al Alférez de carabineros D. Rafael de Silva; á esta resulta al Alférez D. Gregorio Cebollero, y á Alféreces al Cadete D. Vicente Dávila y al Sargento primero de carabineros, gradeado. de Alférez, D. Pedro Ramírez. , ‘ Conociendo S. -la utilidad dé la Botánica , y lo mucho</t>
  </si>
  <si>
    <t>Cebriaa y Castro, Manuel</t>
  </si>
  <si>
    <t>Manuel Cebriaa y Castro</t>
  </si>
  <si>
    <t>ndelagua, Don Juan Pusterla y Lerin, D. Pedro del Barco y la Cendeja, D. Francisco Saravia y Zuazo, D. Manuel Cebriaa y Castro, D. Antonio Esparza Go* méz de Bonilla, D. Vicente Cabeza de Vaca y D. Andrés Amat y Toftosa; habiendo igualmente nombrado S. M. Subtenientes del mismo cuerpo á los Cadetes de los</t>
  </si>
  <si>
    <t>Cecilio Odoardo</t>
  </si>
  <si>
    <t>e se ha servido S. M. nombrar para la Auditoría de la provincia de Cumaná, vacante por promoción de D. Cecilio Odoardo á plaza de Oidor de la Audiencia de Guadalaxara, á D. Joseph Joaquín Malroto, Abogado de los Reales Consejos. Por Escribanía de Cámara y de Gobierno del Consejo Real se ha expedid</t>
  </si>
  <si>
    <t>Cecilio Odoardo y Palma</t>
  </si>
  <si>
    <t>de Oidor de la Audiencia de Guadalaxara, vacante por jubilación de D. Manuel Silvestre Martínez , á D. Cecilio Odoardo y Palma, Auditor dé Guerra y Teniente Gobernador de la plaza deCumaná. En la primera sesión que celebró la junta general de accionistas del</t>
  </si>
  <si>
    <t>Cecilio Vicente Algarra</t>
  </si>
  <si>
    <t>castellana D. León Negro y D. Joseph de Guadix; en gramática latina, según la de D. Juan deTriarte, D. Cecilio Vicente Algarra y D. Joseph Alcaraz; en geografía D. Francisco de Paula Rodríguez y D. Manuel Garzón y Berruezo; en historia de España D. Ruperto def Pulgar, Teniente Capitán del regimiento de Ñapóle</t>
  </si>
  <si>
    <t>Celada, Francisco Joseph</t>
  </si>
  <si>
    <t>Francisco Joseph Celada</t>
  </si>
  <si>
    <t>ph Vergaña, D. Mauricio Fornell y D. Joseph Vila; y á Subtenientes á los Cadetes D. Manuel Rodrigo, D. Francisco Joseph Celada, D. Martia Galáyn, D. Mariano Gri-I mau y D. Francisco de Paula Somalo,y á ios Sargentos primeros0.Manuel Sánchez, D. Antonio López y D. Juan Xará. Asimismo se ka servido S. M. no</t>
  </si>
  <si>
    <t>Celedonio</t>
  </si>
  <si>
    <t>ricana del Real cuerpo de Guardias de Corps ha promovido el Rey á primeros Tenientes á los segundos D. Celedonio ¿gúizabal y D. Eusebio de Herrera; ú segundo Teniente ai Alférez Don</t>
  </si>
  <si>
    <t>Celestino Gancedo, Marcos</t>
  </si>
  <si>
    <t>Marcos Celestino Gancedo</t>
  </si>
  <si>
    <t>n aquella diócesis: para el Arciprestazgo de Silos, en la diócesis de Burgos, vacante por muerte de D. Marcos Celestino Gancedo, á D. Narciso Marcos, Cura de la parroquial de la villa de Retuerta, en</t>
  </si>
  <si>
    <t>Ceno, Pedro</t>
  </si>
  <si>
    <t>Pedro Ceno</t>
  </si>
  <si>
    <t>ales Guardias de infantería Walona; y para la Tenencia de Rey de la plaza dé Barcelona al Brigadier D. Pedro Ceno* de Borci, Teniente de Rey de la de S. Fernando de Fígueras. En el regimiento de infantería de Aragón se ha servido el Rey promover á Capitán al Teniente de granaderos, graduado d</t>
  </si>
  <si>
    <t>Cenon Alonso</t>
  </si>
  <si>
    <t>que iban no dio lugar á largas experiencias, y solo se hieiéron las siguientes en presencia del Sr. D. Cenon Alonso, primer Oficial de la Secretaría de Gracia y Justicia, del Sr. D. Juan Melón, presbítero, Secretario honorario de S. M., bien conocidos y estimados sugetos por su mérito literario</t>
  </si>
  <si>
    <t>Cenon de Torres</t>
  </si>
  <si>
    <t>rios de Godoy: para una Media-Capellanía R acional de la catedral deTarazona, vacante por muerte de Don Cenon de Torres, á D. Manuel Galindo; y para una Capellanía de las</t>
  </si>
  <si>
    <t>Cermeño, Santiago</t>
  </si>
  <si>
    <t>Santiago Cermeño</t>
  </si>
  <si>
    <t>al Ayudante, graduado de Capitán, D. Diego Torrealba: en el de América Tenencias á los Subtenientes D. Santiago Cermeño, Don Vicente Carriola y D. Juan TJgartemendia: en el de Extremadura Compañía al Ayudante, graduado de Capitán, D. Joseph Bernad; y en el de</t>
  </si>
  <si>
    <t>Cervela, Joseph María</t>
  </si>
  <si>
    <t>Joseph María Cervela</t>
  </si>
  <si>
    <t>regimientos de infantería Inmemorial del Rey y Africa á los Cadetes del expre-i sado primer cuerpo D. Joseph María Cervela y D. Bernarda iMarotó: Compañía en el de Toledo al Ayudante, graduado de Capitán, DhFran¿ cisco de Losada ; y Tenencias &lt;n los de Murcia y Borboa d IbslSúbté.* nientes de granaderos D</t>
  </si>
  <si>
    <t>Cervera, Matías</t>
  </si>
  <si>
    <t>Matías Cervera</t>
  </si>
  <si>
    <t>n Juan Domínguez, D. Félix Forstáll , D. Pedro Reggio y1 D. Cátlos Rcggio, y los Sargentos primeros D. Matías Cervera, de granaderos, P Francisco Cañedo y D. Joseph Bernardo , y á Subtenientes de bandera á los Cadetes D. Bernardo Prieto, D. Cirilo Lessasier, D. Juan Treviño y D. Luis Dreux, y los</t>
  </si>
  <si>
    <t>Cervino y Trevijano, Antonio</t>
  </si>
  <si>
    <t>Antonio Cervino y Trevijano</t>
  </si>
  <si>
    <t>na de Granada, vacante por promoción de D. Miguel de Crayvinquel y Zuleta al Deanato de la misma, á D. Antonio Cervino y Trevijano: para la Ración que este obtiene en ella á D. Francisco Enciso: para la de la catedral de Guadix, vacante por muerte de D. Pedro Joseph Sánchez, á D. Pedro de Orbe Earreátegui: pa</t>
  </si>
  <si>
    <t>César Berthier, General</t>
  </si>
  <si>
    <t>General César Berthier</t>
  </si>
  <si>
    <t>ortes de Europa, y á nuestra esquadra que está en Tolon á las órdenes del Almirante Dewinfer. &gt;, El General César Berthier, nombrado Capitán general deola isla de Tabago, ha salido con su familia y su estado mayor1 para HeHnoet, en donde se embarcará para Dunkerque.---Las tropasvque habían de em1-fear</t>
  </si>
  <si>
    <t>César de Miranda</t>
  </si>
  <si>
    <t>fantería de Zaragoza se ha servido S. M. promover á Subtenientes de bandera á D. Francisco Ruiz y á D. César dé Miranda, Sargento primero y Cadete del mismo: á Ayudante y Teniente en el de España al Teniente, graduado de Capitán, D. Cayetano Lacalle, y al Subteniente de granaderos D. Joaquín Navarr</t>
  </si>
  <si>
    <t>Cevallos, Joseph Antonio</t>
  </si>
  <si>
    <t>Joseph Antonio Cevallos</t>
  </si>
  <si>
    <t>er de Torres; y para la Canongíá Dodtorai de la metropolitana dé Lima, vacante por fallecimiento de Don Joseph Antonio Cevallos,á D. Pedro Gutiérrez de Cos. Con fecha de 3 de este mes se ha comunicado por el Ministerio de Hacienda la Real orden siguiente: Enterado el Rey de las dudas propuestas por algunos</t>
  </si>
  <si>
    <t>Cevallos, Pedro</t>
  </si>
  <si>
    <t>Pedro Cevallos</t>
  </si>
  <si>
    <t>iento del encargo que el Gobernador de dicho Real sitio de Aranjuez le hizo de orden del Excmo. Sr. D. Pedro Cevallos para que dentro y fuera de él propagase esta saludable práctica, continuó vacunando á 160 desde la edad de 2 meses hasta la de 26 años en la villa de Yepes, la de Borox , Cienpozu</t>
  </si>
  <si>
    <t>unamente socorridos con comidas económicas , conforme á la Real órden comunicada por el Excrao. Sr. D. Pedro Cevallos, primer Secretario de Estado y del Despacho, participada por este cuerpo patriótico á las comunidades y personas que pueden concurrir á tan loable y urgente fin , para que se real</t>
  </si>
  <si>
    <t>Chacón, Juan</t>
  </si>
  <si>
    <t>Juan Chacón</t>
  </si>
  <si>
    <t>ez de Bernedo: en el de Mallorca á Capitán al Teniente de granaderos, graduado de Teniente Coronel, D. Juan Chacón; y en el batallón de cazadores de Barbastro á Teniente al Subteniente I}. Gerónimo Julián de Anaya. ’ : El Rey se ha servido' promover á Ayudante en el regimiento de car zadores d</t>
  </si>
  <si>
    <t>Chaix, Esteban</t>
  </si>
  <si>
    <t>Esteban Chaix</t>
  </si>
  <si>
    <t>la sociedad, por el socio D. Pedro Pichó, y otra anacreóntica intitulada el patriotismo, del socio D. Esteban Chaix, de S. Felipe. La distinguida concurrencia, la decoración é iluminación de sala^ y la armonía de una orquesta escogida, contribuyeron al lucimiento y solemnidad de esta función, e</t>
  </si>
  <si>
    <t>Chaix, Estéban</t>
  </si>
  <si>
    <t>Estéban Chaix</t>
  </si>
  <si>
    <t>ad, por su zelo.en promover el comercio directo con las Américas, que remitió de S. Felipe el socio D. Estéban Chaix , y leyó D. Joseph Inocencio de Llano. Madrid jo de Diciembre. P or Escribanía de Cámara y de Gobierno del Consejo Real se ha comunicado con fecha de 10 de este mes la circular si</t>
  </si>
  <si>
    <t>Chambelán Conde de Maltlz</t>
  </si>
  <si>
    <t>en la misma ciudad en calidad de Consejero delegación___ También ha nombrado al Chambelán Conde de Maltlz , Ministro de segundo orden cerca del Duque de Wurtemberg y del Margrave de Badén; y el Consejero Alopeus 3 que. se ha,11a en Stockolmo Encargado de negocios» ha ascendido a la dignidad de G</t>
  </si>
  <si>
    <t>Chambelán de Hauche, Mariscal</t>
  </si>
  <si>
    <t>Mariscal Chambelán de Hauche</t>
  </si>
  <si>
    <t>guarnición. El Príncipe de Gloucester ha regalado una espada de acero de exquisito trabajo ai Gran Mariscal Chambelán de Hauche. Ratisbona 12de Febrero. L a gazeta de oficio de Mutiich anuncia que las tropas imperiales han evacuado la ciudad de Passau. Acerca de los votos que en adelante han de formar el C</t>
  </si>
  <si>
    <t>Champaghi</t>
  </si>
  <si>
    <t>á ‘Alemania en 1794, sé van á entregar áTa disposición de nuestro Embaxador el ciud. Champaghi ^ cuyo asuntp hace tiempo qu-e se trataba. ,</t>
  </si>
  <si>
    <t>Champagny</t>
  </si>
  <si>
    <t>__ Se tiene por cierto que un correo francés que llegó aquí con pliegos para el ciud. Champagny, y continuó su viage para Constantinopla, lleva al General Bruñe , que ya debe haber llegado allí, la orden de pedir á la Puerta, en nombre del primer Cónsul,</t>
  </si>
  <si>
    <t>1800. Hasta i.° de Agosto dura el término asignado para su total extinción. El ciud. Champagny, Embaxador de Francia , de acuerdo con el de Rusia , Conde de Rasoumowsky, ha presentado al primer Ministro ^Conde de Cobentzel , una nota en que solicita con</t>
  </si>
  <si>
    <t>3 de junio de 1803</t>
  </si>
  <si>
    <t>inaria dei Imperio , y se cree que volverá á reunirse. Francfort 2 de Mayo. E 1 ciud. Champagny, Embaxador de la República francesa , ha pasado una nota á la corte Imperial, declarando que la República italiana no enviará Ministros á Viena; pues siendo el</t>
  </si>
  <si>
    <t>Chanciller, Lord</t>
  </si>
  <si>
    <t>Lord Chanciller</t>
  </si>
  <si>
    <t>en virtud de ciertas actas del Parlamento relativas á Las fábricas de lanas; sobre lo qual dixo el Lord Chanciller que este bilí era de la mayor importancia : pues se trataba nada ménos que de; suspender 22 actas del Parlamento. ,,Qualquiera disposición, añadió, que pueda perjudicar á este ram</t>
  </si>
  <si>
    <t>e la Cámara no puede.consentir en una violación tan manifiesta, á su parecer, de la fe pública.— El Lord Chanciller pidió votos sobre la propuesta. El Lord Pelham se opuso á ella, diciendo que todo parecía dirigirse á empeñar la Cámara en una pesquisa ya hecha y absolutamente inútil al presente</t>
  </si>
  <si>
    <t>or que guarde moderación.__ El Duque de Clarence se manifiesta sorpreheñaido ce tal insinuacion._El Lord Chanciller expone que la qüestion propuesta es eTdiscurso de gracias á S. M. por su benignísimo mensage, y que no deben distraerse á otros puntos, i_-El Lord Carysfort manifiesta su sorpresa d</t>
  </si>
  <si>
    <t>Chapthal</t>
  </si>
  <si>
    <t>y tercer Cónsules los ciudadanos Cambacéres y Eebrun; Ministro del Interior el ciud. Chapthal , al cuidado del ciud. Carlos Delacroix^Prefecto del departamento de las bocas del Rhódano, órgano del reconocimiento de los marselleses. 2.a inscripción. A la</t>
  </si>
  <si>
    <t>Chardenaux y Rodríguez, Mateo</t>
  </si>
  <si>
    <t>Mateo Chardenaux y Rodríguez</t>
  </si>
  <si>
    <t>ades y Martínez, D. Joseph Tabemet y Pavía, D. Antonio Isasi y Betevin, D. Antonio Casano y Dátoli, D. Mateo Chardenaux y Rodríguez, D. Pablo Argaiz y Aranguren, D. Pablo Ventades y Martínez, D. Agustín Salazar y Allendelagua, Don Juan Pusterla y Lerin, D. Pedro del Barco y la Cendeja, D. Francisco Saravia y Z</t>
  </si>
  <si>
    <t>Chardigny</t>
  </si>
  <si>
    <t>a destructora. Este genio, que está en pie, tiene de alto 5 pies, y es obra del ciud. Chardigny. En el pedestal están grabadas las inscripciones siguientes: i.a Este monumento se hizo el año x de la República francesa, una é indivisible, de la era vulgar</t>
  </si>
  <si>
    <t>Chardon, Carlos</t>
  </si>
  <si>
    <t>Carlos Chardon</t>
  </si>
  <si>
    <t>hecho de ellos desde el tiempo de los Apóstoles hasta el presente : escrita en francés pór el R. P. D. Carlos Chardon, religioso Benedictino; y traducida con adiciones y notas por el R. P. D. Fr. Alberico Echandi, monge Cisterciense, y D. Juan de Campo y Oliva, Licenciado en sagrados Cánones: 8 t</t>
  </si>
  <si>
    <t>Charles</t>
  </si>
  <si>
    <t>te cerca de la Dieta del Imperio; pero después tuvo á bien nombrar especialmente para este asunto á Mr. Charles , Barón, do Euhler, su Consejero íntimo, y caballero de varias órdenes. Lo que la</t>
  </si>
  <si>
    <t>Charpentier, General</t>
  </si>
  <si>
    <t>General Charpentier</t>
  </si>
  <si>
    <t>, r 1 ll General en xefe del exército de Italia, Murat, llego á esta ciudad el 30 del pasado con el General Charpentier.&gt; Se puso la guarnición sobre las armas para recibirle , y la artillería del fuerte viejo anunció su entrada. Al dia siguiente fuéron á cumplimentarle los diputados de la ciudad,'</t>
  </si>
  <si>
    <t>Checano, Lucas Antonio</t>
  </si>
  <si>
    <t>Lucas Antonio Checano</t>
  </si>
  <si>
    <t>provincia, y terminó en el año de 1780, acudirán con suficiente legitimación de su qualidad al Lie. D. Lucas Antonio Checano , Abogado de los Reales Consej OS y Asesor de la intendencia de dicha ciudad por Jo tocante á enagenacion de fincas de obras pías , quien le dará noticia de cier-' Ta suma de'mrs.</t>
  </si>
  <si>
    <t>Chenier</t>
  </si>
  <si>
    <t>uela militar de Paris, lia sido nombrado Inspector de los estudios en lugar del ciud. Chenier, imposibilitado ya de viajar á causa de una enfermedad grave que padece. Valencia 21 de Octubre. E I dia 18 de Setiembre último á las 10 y quarto de la noche s</t>
  </si>
  <si>
    <t>Chicheri, Antonio</t>
  </si>
  <si>
    <t>Antonio Chicheri</t>
  </si>
  <si>
    <t>lar atacada, demostrando lo ocurrido en el sitio hasta el asalto: tiene un año y medio de servicio. D. Antonio Chicheri, igual á lgs otros en ordenanza y matemática, hizo un discurso sobre el álgebra y otro sobre la astronomía; presento varios planos de fortificación, arquitectura y montaña; y el d</t>
  </si>
  <si>
    <t>Chico, Rafael</t>
  </si>
  <si>
    <t>Rafael Chico</t>
  </si>
  <si>
    <t>opons, Teniente Coronel agregado al mismo cuerpo; y la Sargentía mayor de la plaza de Puerto Rico á D. Rafael Chico, Capitán del regimiento de infantería de Valencia. Por el Ministerio de Hacienda se ha comunicado con fecha de 18 de este mes la Real orden siguiente : El Rey se ha servido conced</t>
  </si>
  <si>
    <t>Chirlos María</t>
  </si>
  <si>
    <t>cumplimentar á S$. MM. y A A. con tan plausible motivo, y el de ser igualmente dias del Sr. luíame D. Chirlos María , de la Sra. Infanta Princesa del Brasil, del Sr. Infante D. Carlos Luis, Rey de Etruria, y de la Reyna de Ñapóles. El Rey se ha servido nombrar para la Dignidad de Maestrescuela</t>
  </si>
  <si>
    <t>Chrisóstomo Trelles, Juan</t>
  </si>
  <si>
    <t>Juan Chrisóstomo Trelles</t>
  </si>
  <si>
    <t>Coroneles graduados, D. Miguel de los Ríos, D. Francisco Cabrera, D. Luis Padilla, D. Xavier Elio, D. Juan Chrisóstomo Trelles ,.D. Cárlos Montero, D. Vicente Martínez, D. Pedro Grimarest, D. Alonso Valdes y D. Alexandro Ojea, Sargentos mayores de los de España , Navarra , Princesa, batallón de Voluntario</t>
  </si>
  <si>
    <t>Christiano Herrgen</t>
  </si>
  <si>
    <t>álicas: compañeros y criaderos de las especies metálicas: extracto de una carta del ciud. Cordier á D. Christiano Herrgen: discurso leido en el Real jardin botánico por D. Antonio Joseph Cavanilles: fascículo 3.0 de Jas plantas que el ciud. Broussonet colectó en Canárias y en Africa. Se hallará con l</t>
  </si>
  <si>
    <t>Cid Carrascal, Joaquín</t>
  </si>
  <si>
    <t>Joaquín Cid Carrascal</t>
  </si>
  <si>
    <t>por promoción de D. Matías Muriel y Gómez á una Media Ración de la metropolitana de dicha ciudad, á D. Joaquín Cid Carrascal: para otra Canongía de la de Bribiesca, diócesis de Burgos, que vacó por muerte de D. Miguel Perez Casabal., á D. Manuel Rtiiz Zorrilla:, Racionero de la misma iglesia; y para una</t>
  </si>
  <si>
    <t>Cid, Francisco Xavier</t>
  </si>
  <si>
    <t>Francisco Xavier Cid</t>
  </si>
  <si>
    <t>ie/í los sentimientos y enfermedades de cada uno de los órganos y partes del cuerpo' humano *. por D. Francisco Xavier Cid : un tomo en 4.0 Véndese eñ la librería de Arribas, calle de las Carretas; y en Toledo en¡la de Hernández. ~ * El Viágero universal; ó noticia del mundo antiguo y nuevo , obra rec</t>
  </si>
  <si>
    <t>Cienfuegos, Bartolomé Lorenzo</t>
  </si>
  <si>
    <t>Bartolomé Lorenzo Cienfuegos</t>
  </si>
  <si>
    <t>ntre de la catedral de Lugo, vacante por promoción de D. Antonio de Lence al Deanato de la misma, á D. Bartolomé Lorenzo Cienfuegos: para la Ración de la colegial de Soria, diócesis de Osma , vacante por promoción de *D. Joseph Gonzaléz á Canongía de la misma iglesia, á D. Juan Antonio Ruiz j y para el Medio*</t>
  </si>
  <si>
    <t>Cillero, Manuel</t>
  </si>
  <si>
    <t>Manuel Cillero</t>
  </si>
  <si>
    <t>na Pabordía Penitenciaria de la catedral de Menorca , vacante por renuncia de D. Hilario Serrano, á D. Manuel Cillero é Izquierdo; y para otra también Penitenciaria .de la misma catedral , vacante por fallecimiento de D. Miguel Quadrado, á D. Andrés Sans. El Rey se ha servido conceder en.el regim</t>
  </si>
  <si>
    <t>Ciriaco de Cevailos</t>
  </si>
  <si>
    <t>uche, de la Academia de Ciencias de Paris, y la segunda por el Capitán de Fragata de la Real Armada D. Ciriaco de Cevailos. Se hallara en la librería de Aguilera, calle de Relatores, á 10 rs. en rústica. Experimentos sobre el galvanismo, y en general sobre la irritación de las fibras musculares y nerv</t>
  </si>
  <si>
    <t>Ciríaco de Cevallos</t>
  </si>
  <si>
    <t>Supl., p. 10</t>
  </si>
  <si>
    <t>I2W al O de la Aguadilla de Puerto-Rico, según observaciones exactas hechas en aquel meridiano por D. Ciríaco de Cevallos. El mismo Oficial acaba de determinar la posición geográfica de los Caymanes chicos en esta forma: Latitud de la punta N E del Cayman oriental........ 19o 42' 00a Su longitud al O</t>
  </si>
  <si>
    <t>Supl., p. 9</t>
  </si>
  <si>
    <t>sonda de Campeche, se han dedicado ya los bergantines guarda-costas del mando del Capitán de Navio D. Ciríaco de Cevallos, quien ha comunicado últimamente una memoria importante de varias observaciones náuticas que ha hecho desde que salió de Cádiz á encargarse de aquel mando. En las costas de Goatem</t>
  </si>
  <si>
    <t>Cirilo Demorant</t>
  </si>
  <si>
    <t>yarre y D. Francisco LadeVese, los tres primeros Luis Dáunoy j D. Luis Bóuiigny; D. Luis Gayar re y D Cirilo Demorant, los Cadetes D. Francisco M'óréjori , D. Francisco Duvreüiil, Don Juan Domínguez, D. Félix Forstáll , D. Pedro Reggio y1 D. Cátlos Rcggio, y los Sargentos primeros D. Matías Cerve</t>
  </si>
  <si>
    <t>Cirilo Lessasier</t>
  </si>
  <si>
    <t>ancisco Cañedo y D. Joseph Bernardo , y á Subtenientes de bandera á los Cadetes D. Bernardo Prieto, D. Cirilo Lessasier, D. Juan Treviño y D. Luis Dreux, y los Sargentos primeros D. Toitiás Benávides, de granaderos, y D, Juan Galguera.</t>
  </si>
  <si>
    <t>Cirios Helier</t>
  </si>
  <si>
    <t>aderos al Capitán primero agregado D; Julio Christeu, y ¿ Subteniente de granaderos ai de fusileros D. Cirios Helier. En América, El Rey7 se ha servido nombrar para el Obispado de Guamanga , vacante por fallecimiento de D. Francisco Matienzo Bravo de Ribero, á D. Joseph Antonio Martínez de Aldun</t>
  </si>
  <si>
    <t>Ciscar, Francisco</t>
  </si>
  <si>
    <t>Francisco Ciscar</t>
  </si>
  <si>
    <t>0. Reli exíones sobre las máquinas y maniobras del uso de á bordo, por el Capitán de Navio graduado D. Francisco Ciscar: un tomo en pasta....................................... 60. 42. Examen marítimo teórico-práctico, ó tratado de Mecánica aplicado á la construcción, conocimiento y manejo de los n</t>
  </si>
  <si>
    <t>Ciscár, Gabriel</t>
  </si>
  <si>
    <t>Gabriel Ciscár</t>
  </si>
  <si>
    <t>Supl., p. 8</t>
  </si>
  <si>
    <t>. 2. 2. Memoria elemental sobre los nuevos pesos y medidas decimales fundados en la naturaleza, por D. Gabriel Ciscár, Capitán de Navio de la Real Armada.................... 10. 8. Explicación de varios métodos gráficos para corregir las distancias lunares con la aproximación necesaria para deter</t>
  </si>
  <si>
    <t>Ciscar, Gabriel</t>
  </si>
  <si>
    <t>Gabriel Ciscar</t>
  </si>
  <si>
    <t>ciones fundadas en la misma. Curso de estudios elementales de marina, escrito de orden de S. M. por Don Gabriel Ciscar , Capitán de Navio de la Real armada: tomo i.° que contiene el tratado de Aritmética, y 2.0 el de Geometría elemental con algunas nociones de Geometría práctica y Trigonometría re</t>
  </si>
  <si>
    <t>Cisneros, Jorge</t>
  </si>
  <si>
    <t>Jorge Cisneros</t>
  </si>
  <si>
    <t>D. Domingo Bernedo: para la Canongía de la Metropolitana de Santiago, vacante por fallecimiento de D. Jorge Cisneros, á D. Pedro de Silva: para otra dé la catedral de Xerona, vacante por renuncia que de ella ha hecho Don Antonio Civit y Nadal, á D. Vicente Ximenez: para el Arciprestazgo de Carac</t>
  </si>
  <si>
    <t>Cistúe, Joseph</t>
  </si>
  <si>
    <t>Joseph Cistúe</t>
  </si>
  <si>
    <t>yres; y para la Fiscalía del mismo Tribunal por lo perteneciente al Perú, vacante por jubilación de D. Joseph Cistúe, á D. Ambrosio de Cerdan Pontero, Regente de la Real Audiencia de Goatemala. En atención á los servicios del Intendente de Truxillo, en el Perút 1&gt;. Vicente Gil, se ha servido el</t>
  </si>
  <si>
    <t>Civit y Nadal, Antonio</t>
  </si>
  <si>
    <t>Antonio Civit y Nadal</t>
  </si>
  <si>
    <t>á D. Pedro de Silva: para otra dé la catedral de Xerona, vacante por renuncia que de ella ha hecho Don Antonio Civit y Nadal, á D. Vicente Ximenez: para el Arciprestazgo de Caracena, en la diócesis de Sigüenza, vacante por traslación de D. Miguel Alonso á una Canongía de la catedral de Cuenca, á D. Juan</t>
  </si>
  <si>
    <t>posesión D. Joseph de Herrera, á quien S. M. nombró para él en decreto de ió d.e Octubre de 1798, á D. Antonio Civit y Nadal: para otro simple servidero de la villa del Mirón, en la diócesis de Avila, vacante por muerte de Don Ghristóbai de la Esquina , á D. Bartolomé Herreros: para las PreStameras de C</t>
  </si>
  <si>
    <t>Claris, Francisco</t>
  </si>
  <si>
    <t>Francisco Claris</t>
  </si>
  <si>
    <t>icio de residencia de la parroquial de la villa deMerga* diócesis de Solsona, vacante por muerte de D. Francisco Claris, á D. Edualdo Camides y Guanter: para otro Beneficio, vacante en la parroquia de Vimbodi, diócesis de Tarragona, por renuncia de D- Buenaventura Muro, á D. Cosme Gallar: para otro</t>
  </si>
  <si>
    <t>Clausells, Juan</t>
  </si>
  <si>
    <t>Juan Clausells</t>
  </si>
  <si>
    <t>te, y á Subtenientes de bandera ai Sargento primero de granaderos D. Pedro Alexo García y ai Cadete D. Juan Clausells:cn el de Burgos á Ayudante al Teniente , graduado de Capitán, D. Francisco Martínez , y á Teniente al Subteniente de granaderos Don Alfonso María Ximenez : en el primer batallón d</t>
  </si>
  <si>
    <t>Clavería, Juan</t>
  </si>
  <si>
    <t>Juan Clavería</t>
  </si>
  <si>
    <t>ino y Emo. Cardenal Cayetano : discurso sólido que escribió el M. R. p. jvi. pf Juan Clavería , hijo y Regente del Real convento de Predicadores de Zaragozaobra útil y aun necesaria á todos los religiosos y religiosas que hayan de prestar sti voto en las elecciones de capítulos a</t>
  </si>
  <si>
    <t>Clavero González Hidalgo, Cayetano</t>
  </si>
  <si>
    <t>Cayetano Clavero González Hidalgo</t>
  </si>
  <si>
    <t>tenencias de Bandera en los de Jaén, Ronda, Granada y Laredo á Don Francisco Joseph Galindo, D. Cayetano Clavero González Hidalgo, D. Pedro Martínez Coronado y D. Juan Joseph de Espina y Escorza. El dia 17 de Diciembre último arribó al puerto de Lisboa el bergantín correo de la Real armada nombrado S. Antoni</t>
  </si>
  <si>
    <t>Clavijo Faxardo, Joseph</t>
  </si>
  <si>
    <t>Joseph Clavijo Faxardo</t>
  </si>
  <si>
    <t>el jardin botánico de París, y miembro de las academias francesa y de las ciencias, y traducida por D. Joseph Clavijo Faxardo, del Consejo de S. M. en ei de Hacienda , y miembro de las academias de historia natural de Berlín y .de Copenhague: tomo xvii, que contiene las historias del mustaco, el talapíno</t>
  </si>
  <si>
    <t>l jardín botánico de París, y miembro de las Academias francesa y de las ciencias j y traducida por D. Joseph Clavijo Faxardo, del</t>
  </si>
  <si>
    <t>Clemente Coupi</t>
  </si>
  <si>
    <t>bandera al Cadete D. Manuel Rodríguez Abellan: en el de Toledo Compañía al caballero Page de S. M. D. Clemente Coupi^nl: en el de Hibernia Subtenencia de bandera al Sargento primero D. Angel -Cafareli; y en el de la Princesa Tenencia al Subteniente de granaderos D. Joseph Medel de Prada; y tambi</t>
  </si>
  <si>
    <t>Clemente Rodríguez</t>
  </si>
  <si>
    <t>n D. Vicente Bracamente, Teniente del de húsares de OÜvencia. En atención á los buenos servicios de D. Clemente Rodríguez. se ha dignado S. M. xoncederle los honores de Tesorero de exército¿ En América. Ei Rey se ha servido promover á.Brigadier al Coronel D. J’uau Urbina , Comandante general de Panam</t>
  </si>
  <si>
    <t>en término de i 2 dias precisos. Don Joaquín de Gallarreta, de Madrid, remitió con su endoso al de D. Clemente Rodríguez, de Zamora, por el correo del dia 23 de Marzo 5 vales Reales de á 300 pesos de i.° de Enero, números 88814,84298, 110140 , 107418 y 101211 ;y no habiendo llegado á su destino, se</t>
  </si>
  <si>
    <t>Clemente Torrent</t>
  </si>
  <si>
    <t>do deCapitan, D. Gárlos Perez de Vera: en el de Granada Ayudantía al Teniente, graduado de Capitán, D. Clemente Torrent, y Subtenencias de bandera í los Cadetes D. Manuel de la Cruz y D. Andrés Arango, y al Sargento primero de granaderos D. Antonio Rodríguez: en el de Cantabria Compañía al Teniente</t>
  </si>
  <si>
    <t>Clemente y Palacios, Pablo</t>
  </si>
  <si>
    <t>Pablo Clemente y Palacios</t>
  </si>
  <si>
    <t>cos de Valles de Aragua á Capitanes á los Tenientes D. Fernando Tremaría, D. Joseph Antonio Lobera, D. Pablo Clemente y Palacios, D. Joseph Vicente González y D. Francisco Lozano: á Teniente.de granaderos al de fusileros D. Juan Vicente Bolívar: á Tenientes de fusileros á los Subtenientes D. Joseph Leandro</t>
  </si>
  <si>
    <t>Climent, Joseph</t>
  </si>
  <si>
    <t>Joseph Climent</t>
  </si>
  <si>
    <t>a viuda de Cerro, red de S. Luis: su precio 14 rs. en rústica. Colección dé las obras del limo. Sr. D. Joseph Climent, Obispo de Barcelona: g tomos en 8Se hallarán en la librería de Calleja, calle de Majaderitos angosta, á 20 rs. en pasta y 14 en pergamino. • Tratado de la cria de palomos, en que</t>
  </si>
  <si>
    <t>Cluterberger, General</t>
  </si>
  <si>
    <t>General Cluterberger</t>
  </si>
  <si>
    <t>e su avanzada edad había hecho el Feld-Mariseal Conde de Coiloredo; pero le ha dado por Ayudante al General Cluterberger. Nuestro nuevo Arzobispo el Conde de Nohenwart trabaja con el mayor zelo en corregir los abusos , restableciendo en el clero la mas exacta disciplina, y en los monasterios la prim</t>
  </si>
  <si>
    <t>Coadjutor, Obispo</t>
  </si>
  <si>
    <t>Obispo Coadjutor</t>
  </si>
  <si>
    <t>de los demas Rec-*tores de las escuelas del distrito: para la primera está nombrado Mr. Stroynowki, Obispo Coadjutor deLubeck, prelado de la catedral de esta ciudad, caballero de la orden de S. Estanislao, catedrático jubilado &amp;c. , que ya la había ocupado y desempeñado su cargo del modo mas satisf</t>
  </si>
  <si>
    <t>Cobo, Gabriel</t>
  </si>
  <si>
    <t>Gabriel Cobo</t>
  </si>
  <si>
    <t>amente la fiebre en aquella isla. Malaga 1.° de Marzo, L a Academia, que con Real aprobación dirige D. Gabriel Cobo, tuvo actos literarios en los días 17 y 18 de Diciembre á presencia de un lucido concurso, los que presidieron por nombramiento del caballero Gobernador los Licenciados D. Francis</t>
  </si>
  <si>
    <t>Coíotina, Nicolás</t>
  </si>
  <si>
    <t>Nicolás Coíotina</t>
  </si>
  <si>
    <t>Los acreedores en estos reynos del Emo. y Excmo. Sr. D. Nicolás Coíotina comparecerán en el último, preciso y perentorio término de 20 días, contacjos de*: defe\ jp, dp Abril, a¿nte el Sr. P. Sebastian de Torres,, vdet Consejo, de S. M. en el Réary syp</t>
  </si>
  <si>
    <t>Colas, Joaquín</t>
  </si>
  <si>
    <t>Joaquín Colas</t>
  </si>
  <si>
    <t>empleo de Sargento ma^or al Capitán de granaderos del de Cantabria, graduado de Teniente Coronel , D. Joaquín Colas, y Tenencia al Subteniente D. Lúeas Belmar: en el de León el empleo de Ayudante al Teniente D. Juan Albanel : en el de Cantabria Gapellanía.al presbítero D. Anto</t>
  </si>
  <si>
    <t>Colbert</t>
  </si>
  <si>
    <t>s. en rústica. El segundo se publicará con la mayor brevedad. Traducción de una Memoria escrita por Mr. Colbert sobre los medios que halló ser mas ventajosos á la Francia en su antiguo sistema para la prosperidad del comercio, con algunas observaciones sobre el de España. Véndese'en la libr</t>
  </si>
  <si>
    <t>Coldelram, Francisco</t>
  </si>
  <si>
    <t>Francisco Coldelram</t>
  </si>
  <si>
    <t>el, llamado Comunda , en la villa de Prats del Rey, diócesis de Vique, vacante por fallecimiento de D. Francisco Coldelram, á D. Ramón Miralpeis; para otro Beneficio simple de S. Martin , fundado en la capilla del castillo de Boltrega, diócesis de Vique, vacante por muerte de D. Benito Gandara, á D. M</t>
  </si>
  <si>
    <t>Colhorn</t>
  </si>
  <si>
    <t>re el Nuncio apostólico que reside en esta capital, Mr. de Schrant, representante del Emperador, jr Mr. Colhorn, delegado del Elector Archicanciiler, en nombre del Imperio germánico. Se puede también anunciar con anticipación que los puntos principales de este concordato están ya convenidos</t>
  </si>
  <si>
    <t>Coll, Joseph</t>
  </si>
  <si>
    <t>Joseph Coll</t>
  </si>
  <si>
    <t>ue en el término de 30 dias ocurran á justificarlo ante el Juez Subdelegado de la villa de Igualada D. Joseph Coll. Doña Antonia Huete Merino, ya difunta, vecina que fué de la ciudad de Almería, dexó entre otros por sus herederos á Doña Max! mi liana Muñoz y Huete, su sobrina, y á un hijo de s</t>
  </si>
  <si>
    <t>Coll, Joseph Francisco</t>
  </si>
  <si>
    <t>Joseph Francisco Coll</t>
  </si>
  <si>
    <t>cia á D. Santiago Nuñez Casqueyro ; y para el Corregimiento de la villa de Agreda, que este dexa, á D. Joseph Francisco Coll. En América. En el regimiento de infantería del Rey fixo de Manila se ha servido el Rey promover á Coronel al Teniente Coronel, graduado de Coronel, D. Raymundo Español; á Tenient</t>
  </si>
  <si>
    <t>Collado, Antonio</t>
  </si>
  <si>
    <t>Antonio Collado</t>
  </si>
  <si>
    <t>ha de celebrar el martes 1.6 de este mes. Por providencia del Sr. D. Torquato. Antonio Collado, Teniente Corregidor de Madrid; se manda sacar á pública1 subasta por 30 días una casa- de baños, sita en la calle del Mediodía grande, con vuelta á la del Mediodía chica , y todos los efec</t>
  </si>
  <si>
    <t>Collado, Miguel Gerónimo</t>
  </si>
  <si>
    <t>Miguel Gerónimo Collado</t>
  </si>
  <si>
    <t>; y para el Beneficio tercero, fundado en la capilla de Santa Anastasia de la catedral de Gerona, á D. Miguel Gerónimo Collado. S. M. ha conferido el empleo de Coronel del regimiento provincial de Chinchilla á D. Feruando Nuñez de Robres, Capitán de la primera compañía del mismo cuerpo; y ha nombrado Ayud</t>
  </si>
  <si>
    <t>Colli, General</t>
  </si>
  <si>
    <t>General Colli</t>
  </si>
  <si>
    <t>mes. Va á Paris donde pasará.la mayor parte del. invierno , y después hará un viager á Londres. El General Colli, que en tiempos pasados tuvo el mando del exército sardo en el Piamontc, quando estuvo reunido á las tropas austríacas, vuelve á entrar de servicio después de haber recuperado su</t>
  </si>
  <si>
    <t>Colmenares, Joseph Ignacio</t>
  </si>
  <si>
    <t>Joseph Ignacio Colmenares</t>
  </si>
  <si>
    <t>tin Peruano y la goleta Extremeña al cargo de los Tenientes de Navio D. Joseph Ignacio Colmenares y D. Mariano Isasviribil, en el reconocimiento y descripción de los principales surgideros, con el fin de formar una instrucción náutica para gobierno de los navegantes que los freqüe</t>
  </si>
  <si>
    <t>Colon de Larreátegui, Félix</t>
  </si>
  <si>
    <t>Félix Colon de Larreátegui</t>
  </si>
  <si>
    <t>lito Estevez; y los otros dos del profesor D. Antonio Bovadilla. Fueron presididos por el Brigadier D. Félix Colon de Larreátegui, protector de este establecimiento; y diéron principio por una oración, que en sus respectivos dias dixeron Estevez y Bovadilla, á que siguió haber explicado-los'alumnos las mater</t>
  </si>
  <si>
    <t>Colpoys, Almirante</t>
  </si>
  <si>
    <t>Almirante Colpoys</t>
  </si>
  <si>
    <t>ra de los Comunes no se ha controvertido punto alguno de importancia. Ayer se recibió^ün olicio del Almirante Colpoys dando noticia de una acción de las mas arrojadas, y de que no hay exemplo en nuestros fastos navales. El Capitán de la fragata la Loirr, Maitland , cruzando el dia 27 del pasado sobr</t>
  </si>
  <si>
    <t>rnwallis en el mando de la escuadra dei Canal. Todas las: fragatas, balandras y cúters afinando del Almirante Colpoys, tienen orden de estar en una vigiiantísima observación, á fin que si descubren la flotilla enemiga, se acerquen á la costa, y avisen al telégrafo mas inmediato, para que la notic</t>
  </si>
  <si>
    <t>Columna, Ramón</t>
  </si>
  <si>
    <t>Ramón Columna</t>
  </si>
  <si>
    <t>ral de Ceuta, vacante por haber pasado á una Canongía de la catedral de Málaga D. Joaquín Catani, á D. Ramón Columna: para la Ración que este obtiene en la misma iglesia de Ceuta y resultará vacante á D. Francisco Ru iz Pinto ; y para la Canongía de la metropolitana de Toledo, vacante por fallec</t>
  </si>
  <si>
    <t>Comá, Antonió</t>
  </si>
  <si>
    <t>Antonió Comá</t>
  </si>
  <si>
    <t>Villaviciósa Compañía al Teniente D. Rafael !Miians, y Ayudantía al Teniente, graduado dé^Capitan, D. Antonió Comá: en él de cazadores de Sagunto Ayudantía al Teniente, graduado de Capitán, D. Ramón Ortigosa; Tenencias á los Alféreces D. Cárlos Buil y D. Pedro Lechuga, y Alféreces al Cadete D.</t>
  </si>
  <si>
    <t>Comandante Golles</t>
  </si>
  <si>
    <t>ente se hizo á la vela de este puerto el navio de guerra ingles el Soberbio, su Comandante Golles, llevando á su bordo al Secretario de legación de Inglaterra con despachos para la esquadra del Almirante Nelson , que se hallaba cruzando delante de Tolon , y</t>
  </si>
  <si>
    <t>comandante Nogues</t>
  </si>
  <si>
    <t>, han tenido 14 muettoá y de 40 á&lt; $q¡ heridos, siendo nno de esto¿ eí General comandante Nogues* Una partida de la 82 y otra de la 127 medias brigadas han quedado prisioneras de guerra. Otra partida de esta última media brigada filé hecha prisionera por l</t>
  </si>
  <si>
    <t>comandante Omar Bey</t>
  </si>
  <si>
    <t>Pirámides , faltas de todo y acosadas por turcos; en cuya situación crítica su comandante Omar Bey tomo la resolucio* desesperada de romper la línea de los turcos para escaparse, «on cuyo intento hizo un ataque falso, y luego acometió, con fuerzas superiores</t>
  </si>
  <si>
    <t>Comandante, Coronel</t>
  </si>
  <si>
    <t>Coronel Comandante</t>
  </si>
  <si>
    <t>de Bremer , Juez del Tribunal electoral de Justicia , y Consejero provincial__ G. de Boch, Teniente Coronel Comandante del regimiento electoral de Guardias de Corps.” El primer Cónsul ha dirigido á los Cardenales, Arzobispos y Obispas de Francia, la circular siguiente: ,,Los motivos de la presente gue</t>
  </si>
  <si>
    <t>Comandante, General</t>
  </si>
  <si>
    <t>General Comandante</t>
  </si>
  <si>
    <t>lingen el 14 Prenal año ti ( 3 de Junio de 1803), salvo la aprobación del primer Cónsul. El 7miente General Comandante en xefe Eduardo Mortier. __ F. de Bremer , Juez del Tribunal electoral de Justicia , y Consejero provincial__ G. de Boch, Teniente Coronel Comandante del regimiento electoral de Gua</t>
  </si>
  <si>
    <t>Comas, Ramón</t>
  </si>
  <si>
    <t>Ramón Comas</t>
  </si>
  <si>
    <t>Beneficio de la metropoUtana de Tarragona^ á DvMagín,Escola para otro _de la. catedral de Gerona á D. Ramón Comas: para otro de la parroquia de Vilanova de Escornalbou, diócesis de Tarragona, á D. Juan Planas: para otro de la-de Valjunquera, diócesis de Zaragoza, á Don Francisco Bondia ; y. p</t>
  </si>
  <si>
    <t>Comazzi, Juan Bautista (conde)</t>
  </si>
  <si>
    <t>Conde Juan Bautista Comazzi</t>
  </si>
  <si>
    <t>olíticos y morales deducidos de la historia de los Emperadores Romanos : escritos en toscano por el Conde Juan Bautista Comazzi, y traducidos por D. Diego Bravo de Villasante: 2 tomos en 8.° á 20 rs. en pergamino y 24 en pasta. Se hallarán en la librería de Muníta, calle de las Carretas. M isiones y sermon</t>
  </si>
  <si>
    <t>Comb</t>
  </si>
  <si>
    <t>es, desistiría de la providencia tomada. El sábado 25 fue apresada la chalupa la Luisa, mandada por Mr. Comb, antes contramaestre, por el corsario francés el Prudente, que sacando la tripulación puso en ella dos franceses. Mr. Comb recobró su barco matando de un hachazo al uno, y echando</t>
  </si>
  <si>
    <t>Commins, Miguel</t>
  </si>
  <si>
    <t>Miguel Commins</t>
  </si>
  <si>
    <t>, graduado de Teniente Coronel, D. Santiago de Vargas: la del de Irlanda al Capitañ del de IJltonia D. Miguel Commins: la del de Navarra al Capitán del de Asturias D. Joseph Bodet: la del de Hibernia al Capitán del de Irlanda Eugenio Macrohon; la del de Ultonia al Capitán del de Hibernia, graduad</t>
  </si>
  <si>
    <t>Compañía, Princesa</t>
  </si>
  <si>
    <t>Princesa Compañía</t>
  </si>
  <si>
    <t>de Forgis: en el de América Ayudantía al Teniente, con igual grado, D. Pedro Tejada: en el de ‘ la Princesa Compañía al Teniente'de granaderos, también graduado de Capitán, D. Bernardo Casamayor: en el de Málaga Compañía al Caballero Page de S. M. D. Joseph Luco: en el de Voluntarios db Castilla</t>
  </si>
  <si>
    <t>ntonio Menas en el de Navarra Compañía al caballero Page de S. M. D. Pedro Wintuysen; y en el de la Princesa Compañía al Teniente de granaderos,graduado de Capitán, D. Francisco Lessoyne. En el Real cuerpo de Artillería se na servido el Rey nombrar Coronel del tercer regimiento al Brigadier D. Vi</t>
  </si>
  <si>
    <t>Conde de Daneskiol Lowendahl, General</t>
  </si>
  <si>
    <t>General Conde de Daneskiol Lowendahl</t>
  </si>
  <si>
    <t>en cuyo centro se erige ya la estatua del fundador Pedro el Grande. Hamburgo ti de Junio. E 1 Mayor General Conde de Daneskiol Lowendahl, Embaxador de S. M. Danesa cerca de la República bátava, llegó ayer á esta ciudad.__ S. A. R. el Duque de Cambridge, que llegó ayer á Altona con el Coronel de Decken, ha salido ho</t>
  </si>
  <si>
    <t>Conde de Hohenwart, Arzobispo</t>
  </si>
  <si>
    <t>Arzobispo Conde de Hohenwart</t>
  </si>
  <si>
    <t>Emperador, quien permanecerá aquí también mañana para asistir á la ceremonia de la instalación del Arzobispo Conde de Hohenwart. Escriben de Turquía que se ha manifestado en Persia una nueva revolución. Estos dias ha pasado por aquí con aceleración un correo francés que envía desde Constantinopla á París e</t>
  </si>
  <si>
    <t>Conde de Mantredini, Teniente General</t>
  </si>
  <si>
    <t>Teniente General Conde de Mantredini</t>
  </si>
  <si>
    <t>he 7 de Noviembre. S . A. el Elector de Saitzburgo ha nombrado primer Ministro del Elec—, torado al Teniente General Conde de Mantredini, que estará especialmente encargado del departamento de Negocios extrangeros y de la Guerra. En igual destino de Ministro principal hizo Manfredini en Florencia tan grandes cosas,</t>
  </si>
  <si>
    <t>Conde de Roncaly, Joseph</t>
  </si>
  <si>
    <t>Joseph Conde de Roncaly</t>
  </si>
  <si>
    <t>Reales Guardias Walonas á primer Teniente de granaderos al primer Teniente y primer Ayudante mayor D. Joseph Conde de Roncaly. S. M. se ha dignado nombrar en el batallón de infantería de Canarias á Subteniente al Cadete D. Aureliano Carabeo. En América. El Rey se ha servido promover en el batallón de Mil</t>
  </si>
  <si>
    <t>Conde de Ruxowjden, Teniente General</t>
  </si>
  <si>
    <t>Teniente General Conde de Ruxowjden</t>
  </si>
  <si>
    <t>xpectación del modo con que la recibirá aquel Baxá. . '..i - ■ .{ r-.\ . ■ Petersburgo de Abril, Ü1 Teniente General Conde de Ruxowjden, que se ha grangeado tanto honor en los empleos importantes de Gobernador de Varsovia , y Gobernador general NdePetersburgo,ha vuelto á entrar en el servicio adon</t>
  </si>
  <si>
    <t>Conde de Santa' Clara, Teniente General</t>
  </si>
  <si>
    <t>Teniente General Conde de Santa' Clara</t>
  </si>
  <si>
    <t>díencia, al Teniente General Conde dé Santa' Clara: para el Gobierno de: la plaza de Hostalrich al Coronel D. Manuel Vigil de Quiñones , Teniente Coronel agregado en el regimiento de infantería de Navarra; y para el de la villa de</t>
  </si>
  <si>
    <t>Conde Tolzstolstoy, Teniente General</t>
  </si>
  <si>
    <t>Teniente General Conde Tolzstolstoy</t>
  </si>
  <si>
    <t>eramente. Petersburgo l.° de Diciembre. E I Emperador ha nombrado para la plaza de Feld-Mariscal al Teniente General Conde Tolzstolstoy, á quien le corresponde la inspección en xefe de Petersburgo en calidad de Gobernador militar. Se han concluido los reparos y mudanzas del,teatro principal, siendo del mejor gusto</t>
  </si>
  <si>
    <t>Conde, Domingo</t>
  </si>
  <si>
    <t>Domingo Conde</t>
  </si>
  <si>
    <t>age de S. M. D. Joseph Luco: en el de Voluntarios db Castilla Tenencia al Subteniente de granaderos-D. Domingo Conde: en el de Granaderos Voluntarios de Estado Ayudantía al Teniente, graduado de Capitán, D. Joseph Pascual de Céspedes: en el de Voluntarios de la Corona al Caballero Page de S. M:</t>
  </si>
  <si>
    <t>Conde, Joaquín</t>
  </si>
  <si>
    <t>Joaquín Conde</t>
  </si>
  <si>
    <t>enencias de bandera á los Sargentos ■primeros D. Manuel Bustamante y D. Francisco Moreno, al Cadete Don Joaquin Conde y al Subteniente de granaderos del provincial de Ecijá D. Juan Nepomuceno Yañez de Barnuevo: en el de Hibernia Compañías al Tenienté Coronel D. Jayme Mactérnan y al Capitán D. Josep</t>
  </si>
  <si>
    <t>Constantino, Duque</t>
  </si>
  <si>
    <t>Duque Constantino</t>
  </si>
  <si>
    <t>Uamburgo 4 de Diciembre. E scríben de Petersburgo que el Gran Duque Constantino está allí de vuelta desde el 17 del mes último, habiendo hecho su viage desde Viena en 12 días. El Rey de Prusia ha renovado la' orden de 24 de Setiembre prohibiendo severamente la</t>
  </si>
  <si>
    <t>uarnecida de brillantes, y adornada con el retrato de aquel Soberano, con motivo del viage del Gran Duque Constantino á Viena. El Ministro de la Guerra ha escrito á los Consejos de administración de ios cuerpos de armas lo siguiente: ,,El gobierno ha llegado á saber que varias veces ha sucedido q</t>
  </si>
  <si>
    <t>á la revista de la guarnición de Estonia, que se reputa de 30® hombres. Acompañarán á S. M. el Gran Duque Constantino, un Ministro de Estado y muchos Secretarios para despachar los negocios urgentes. Al tiempo de subir ai coche la Princesa Georgiana María para ir, según decia, á Petersburgo, mató</t>
  </si>
  <si>
    <t>la marcha el regimiento de Guardias de Preobragensld mandado Í&gt;or el Emperador en persona : el Gran Duque Constantino iba á cabalo entre los Cadetes del exército, de quien es xefe, y el regimiento de Guardias de.á.caballo de qúe es Coronel, y el Príncipe Luís de Wuctemberg á la cabeza de su regim</t>
  </si>
  <si>
    <t>es de partir el Emperador para Finlandia. Salió S. M. el 4, y llegó por la tarde á Viburgo. El Gran Duque Constantino había salido la víspera c&lt;?n el regimiento de Guardias de á caballo, de que es Coronel. Acompañan á S. M. I. los xefes del cuerpo de Ingenieros, y los del estado mayor del exércit</t>
  </si>
  <si>
    <t>e mes comenzarán los grandes ejercicios del otoño. Habrá dos exércitos , el uno mandado por el Gran Duque Constantino, que tendrá á sus órdenes al Principe Alexandro de VVirtemberg, y el otro por el General de infantería Conde de Buxhoerden. IJna caravana rusa de 600 camellos ha atravesado felizm</t>
  </si>
  <si>
    <t>. 97. 1037 GAZETA DE MADRID DEL VIERNES 2 DE DICIEMBRE DE 1803, Petersburgo JO de Octubre. E 1 Gran Duque Constantino se ocupa con zelo en levantar un nuevo regimiento de huíanos, de que se ha nombrado Coronel al General mayor Moeller-Sakomelski. Ya se ha presentado S. A. muchas veces con el unif</t>
  </si>
  <si>
    <t>Cónsul Bonaparte</t>
  </si>
  <si>
    <t>ta: van á renovarse las antiguas relaciones de amistad y de comercio; y el gran Cónsul Bonaparte me encarga aseguraros de su benevolencia, y anunciaros la Negada al Egipto de los comisarios de comercio franceses.” El Baxá me respondió: „La benevolencia con</t>
  </si>
  <si>
    <t>á V. A.) la llegada á Constantinopla del General Bruñe, nombrado por el primer Cónsul Bonaparte, Embaxador de la República francesa cerca de la Puerta otomana. El puesto que él General Bruñe ocupa en el estado, y los servicios importantes que ha hecho al</t>
  </si>
  <si>
    <t>buena disposición y benevolencia manifestadas de parte del muy magnánimo primer Cónsul Bonaparte, con respecto á los intereses del Imperio otomano, es constante que ella se dará priesa á aplicar todos sus esfuerzos para la conservación de los empeños recíp</t>
  </si>
  <si>
    <t>a huella intención y sinceros sentimientos que por su parte maniñesta el primer Cónsul Bonaparte; y aseguraros al mismo tiempo de la disposición y atención de S. A. para consolidar en todos sus puntos los vínculos de la sincera amistad que unen á estas dos</t>
  </si>
  <si>
    <t>Cónsul Cambaceres Mr</t>
  </si>
  <si>
    <t>is capaz de hacerla/’ El 26'de, Setiembre, tuvieron la honra. de presentarse al Cónsul Cambaceres Mr. Mentelle, del Instituto nacional, y Mr. Malte-Brun, literato dinamarqués; y le entregaron.una nueva geografía universal, matemática, física y política, y el C</t>
  </si>
  <si>
    <t>Cónsul Jove</t>
  </si>
  <si>
    <t>ntados desde 14 del corriente. Se solicita saber el paradero de D. Pedro Joseph Cónsul Jove, natural de la ciudad de Oviedo, el que en el año de 1782 se hallaba en Arequipa, reyno del Perú , de Capitán de milicias, y en el de 1784 era Secretario de la</t>
  </si>
  <si>
    <t>Cónsul Jove, Diego</t>
  </si>
  <si>
    <t>Diego Cónsul Jove</t>
  </si>
  <si>
    <t>ido mas razón de él: quien tuviere noticia de su existencia se le suplica lo participe á su hermano D. Diego Cónsul Jove, que es el director y dueño de la Real fábrica de hules de seda de Cádiz, el que tiene algunos asuntos de importancia que comunicarle. Suplemento al Semestre médico-clínico de T&gt;¿</t>
  </si>
  <si>
    <t>Cónsul Jove, Pedro Joseph</t>
  </si>
  <si>
    <t>Pedro Joseph Cónsul Jove</t>
  </si>
  <si>
    <t>id dentro del término dje 15 dias contados desde 14 del corriente. Se solicita saber el paradero de D. Pedro Joseph Cónsul Jove, natural de la ciudad de Oviedo, el que en el año de 1782 se hallaba en Arequipa, reyno del Perú , de Capitán de milicias, y en el de 1784 era Secretario de la Intendencia de Guam</t>
  </si>
  <si>
    <t>Cónsul Lebrun</t>
  </si>
  <si>
    <t>tado de que no pueda hacer ningún daño* París 12 de Agosto* E 1 9 llegó aquí el Cónsul Lebrun, é igualmente ha llegado parte de la guardia consular que ha acompañado al primer Cónsul en su viage, y se espera que este llegue de un dia. á otro. .El Obispo</t>
  </si>
  <si>
    <t>Cónsul Presidente</t>
  </si>
  <si>
    <t>o que la República italiana no enviará Ministros á Viena; pues siendo el primer Cónsul Presidente de esta República , el mismo Embaxador francés la representará también cerca ae S. M. I. En su conseqüencia la corte de Viena ha determinado no enviar Ministro part</t>
  </si>
  <si>
    <t>CónsuL Un</t>
  </si>
  <si>
    <t>naturales para el museo. nacionál* y dos llamas, hembra y macho, para el primer CónsuL Un dragón de la guardia del Capitán general de Sto. Domingo tiene ha-? ce un año el cuidado de estos preciosos animales, y luego que se hayan restablecido de la n</t>
  </si>
  <si>
    <t>Conté</t>
  </si>
  <si>
    <t>amenazan á estos, cantones, enviará el General Ney algunas tropas aL mando del ciud. Conté. A pocos pasos de nuestras fronteras se ha levantado un soberbio monumento en memoria de la valerosa resistencia con que el rexércíto del Rhin defendió en el i</t>
  </si>
  <si>
    <t>Contreras, Francisco</t>
  </si>
  <si>
    <t>Francisco Contreras</t>
  </si>
  <si>
    <t>ranaderos al Capitán D. Joseph Bautista: en el de Málaga Tenencias á los Subtenientes de granaderos Don Francisco Contreras y D. Rafael del Canto; y en el batallón de Voluntarios de Campomayor Tenencia ai Subteniente D. Francisco Fernandez. También se ha servido promover el Rey en el regimiento de infanter</t>
  </si>
  <si>
    <t>Coquelin, Luis</t>
  </si>
  <si>
    <t>Luis Coquelin</t>
  </si>
  <si>
    <t>ar atacada, demostrando lo ocurrido hasta la capitulación: tiene un año y quatro meses de servicio. Don Luis Coquelin, igual en ordenanza á los precedentes y de matemática algo ménos, pronunció un discurso sobre la fortificación, y presentó el plano de una plaza irre^ guiar: tiene de servicio och</t>
  </si>
  <si>
    <t>Coracho, Juan Joseph</t>
  </si>
  <si>
    <t>Juan Joseph Coracho</t>
  </si>
  <si>
    <t>Miguel Bores , Antonio Galban, Christóbal Pastrana, Joseph María Martin, D. Juan Antonio Bustillo, D. Juan Joseph Coracho, Miguel Fabre y Miguel Morilla,de la deD. Cosme,un libro de Doctrina cada uno del P. Astete, por haberse distinguido de los</t>
  </si>
  <si>
    <t>Coral, Antonio</t>
  </si>
  <si>
    <t>Antonio Coral</t>
  </si>
  <si>
    <t>te del de Reales Guardias Walonas D. Vicente Ortiz de Gordon: en el de Sevilla ai Sargento 'primero D. Antonio Coral y al Cadete D. Francisco Rubalcaba: en el de Toledo al Sargento primero de granaderos D*Manuel Carazo: en el de Hibernia al Cadete D. Pablo García de la . Peña ; y en el segundo bat</t>
  </si>
  <si>
    <t>Cordier</t>
  </si>
  <si>
    <t>as: compañeros y criaderos de las especies metálicas: extracto de una carta del ciud. Cordier á D. Christiano Herrgen: discurso leido en el Real jardin botánico por D. Antonio Joseph Cavanilles: fascículo 3.0 de Jas plantas que el ciud. Broussonet colec</t>
  </si>
  <si>
    <t>Córdoba, Juan</t>
  </si>
  <si>
    <t>Juan Córdoba</t>
  </si>
  <si>
    <t>D. .Hilario Norma, D. Joseph Valdés yD. Pedro Madera, y.áíStibtenientés; de "bandera á los Cadetes ;D. Juan Córdoba y D. Luis -Lara , y ah Sargento-primero de granaderos L&gt;. Lázaro Calvo. Asimisiño-ha promovido-S. M.en el regimiento de. infantería de Cuba á Capitán ai Ayudante D. Bartolomé Sánchez;</t>
  </si>
  <si>
    <t>Cormont</t>
  </si>
  <si>
    <t>ose cada una la victoria. Londres i$ de Junto. \ E I 12 á las ocho de la tarde llegó á esta capital Mr. Cormont, corred de gabinete francés, con despachos de tanta importancia, que por no detenerse se embarcó en un bote sin cubierta, á pesar de ser et tiempo borrascoso. Inmediatamente se re</t>
  </si>
  <si>
    <t>Cornel, Francisco Xavier</t>
  </si>
  <si>
    <t>Francisco Xavier Cornel</t>
  </si>
  <si>
    <t>atallón de Voluntarios de Aragón á Sargento mayor al Capitán primero, graduado de Teniente Coronel, D. Francisco Xavier Cornel. f También se ha servido S. M. conceder en el regimiento de infantería de Borbon Subtenencias.de bandera al Sargento primero de granaderos D. Juan Vital deBernoqui, y a jos Cadete</t>
  </si>
  <si>
    <t>Cornelia Blanco</t>
  </si>
  <si>
    <t>Joseph Vallenilla, D. Manuel Blanco y Dv Adrián Blanco; i Subteniente de granaderos al de fusileros D. Cornelia Blanco; á Subtenientes de fusileros y de bandera al Cadete D;BUs del Cantillo, á Dort Alexandro Tovar, D, Joseph Antonio del Toro y Di Mauricio Blanco.El Consejo, á Consulta de la Comisi</t>
  </si>
  <si>
    <t>Corníde y Pardo, Joseph</t>
  </si>
  <si>
    <t>Joseph Corníde y Pardo</t>
  </si>
  <si>
    <t>o, vacante por promoción de D Ignacio Ramón de Roda á la Penitenciarla de la misma metropolitana, ¿ D. Joseph Corníde y Pardo : para otra Ración de la catedral de Badajoz, vacante por promoción de D. Luis Joseph de Mendoza a la Dignidad deChantre de la misma catedral, aD.Manuel de Silva y Ayans: para otr</t>
  </si>
  <si>
    <t>Cornide y Pardo, Joseph</t>
  </si>
  <si>
    <t>Joseph Cornide y Pardo</t>
  </si>
  <si>
    <t>o: para la Ración del colegio de Sancti-Spíritus de la ciudad de Santiago, vacante por promoción de D. Joseph Cornide y Pardo á una Ración de aquella iglesia metropolitana , á D. Nicolás de Turnes: para la Media-Ración, que se halla vacante en la catedral de Córdoba, á D. Francisco Xavier Masuelo: para e</t>
  </si>
  <si>
    <t>Cornide, Antonio</t>
  </si>
  <si>
    <t>Antonio Cornide</t>
  </si>
  <si>
    <t>l de Córdoba, graduado de Coronel, D. Joseph Alvarez Campana: la del de Murcia al del propio cuerpo D. Antonio Cornide: la ael de León al del mismo regimiento D. Joseph García Ollpqui: la del de Irlanda al del propio cuerpo D. Juan Naghteñ: la del de Cantabria al del de Sevilla, graduado de Corone</t>
  </si>
  <si>
    <t>Cornwallis, Almirante</t>
  </si>
  <si>
    <t>Almirante Cornwallis</t>
  </si>
  <si>
    <t>liberaciones ha sido dar á los movimientos marítimos y á los puertos nuevo grado de actividad.__ El Almirante Cornwallis , encargado del mando de la esquadra de la Mancha, debe haber enarbolado hoy su pabellón en Plimouth, á bordo del navio la Ciudad de París___ La fragata Anfión está en Portsmouth</t>
  </si>
  <si>
    <t>ir Sidney-Smith van á mandar los cruceros establecidos sobre las costas de Francia. La esquadra del Almirante Cornwallis, que cruza delante de Brest, consiste en 14 navios de línea y 3 fragatas. El Lord Nelson salió el 21 para el Mediterráneo—^-En virtud de una orden del Almirantazgo la esquadra de</t>
  </si>
  <si>
    <t>ío se nos escapará ,como ni tampoco los buques franceses que vienen de la América septentrional. El Almirante Cornwallis lia destacado al Contra-Almirante Campe’rl con quatros navios de línea y una fragata para una expedición secreta. ¡También ha dado, orden á los navios Tonante y Marte de 84-y 74,</t>
  </si>
  <si>
    <t>CornwallLs, Almirante</t>
  </si>
  <si>
    <t>Almirante CornwallLs</t>
  </si>
  <si>
    <t>tempestuosa, ;no vemos en esta circunstancia nad.a mas, sino í^a firme determinación; del valiente Almirante CornwallLs,.de^cont.i.upajr eL bloqueo con igual vigor ,ó. detestar; pronto da dar caza á ,qyalquiera dimisión francesa?,, qqe consiga, salir del puerto. i ,.;V ■ &gt; r; • , A.\R. ¿el Buque de</t>
  </si>
  <si>
    <t>Coronado y Anchuelo, Mateo</t>
  </si>
  <si>
    <t>Mateo Coronado y Anchuelo</t>
  </si>
  <si>
    <t>de Toledo, vacante por promoción de D. Santiago Bencomo á una Canongía de la catedral de Canaria, á D. Mateo Coronado y Anchuelo: para otra de la misma iglesia metropolitana, vacante por fallecimiento de D. Tomas Aguado, á D. Rafael Real de Senra: para otra también vacante en la referida santa iglesia de To</t>
  </si>
  <si>
    <t>Coronado, Martín</t>
  </si>
  <si>
    <t>Martín Coronado</t>
  </si>
  <si>
    <t>nfantería de Guayana al Ayudante mayor de él D. Francisco González Moreno; esta resulta al Teniente D. Martín Coronado; la Tenencia que este servia al Subteniente D. Pedro González de Flores, y la Subtenencia que este dexa al Cadete D. Vicente González. En el regimiento de dragones de España, fixo</t>
  </si>
  <si>
    <t>e Cumaná al Ayudante mayor del prepio cuerpo D. Francisco González Moreno; esta resulta al Teniente D. Martin Coronado ; la Tenencia qtte este dexa al Subteniente D. 1 ecro González de Flores, y^ la Subtenencia que por su ascenso resulta al Sargento D. Vicente González. Por el Ministerio de Hacien</t>
  </si>
  <si>
    <t>Corradi, Juan</t>
  </si>
  <si>
    <t>Juan Corradi</t>
  </si>
  <si>
    <t>ndientes al tomo i.° de ia obra intitulada: Descubrimiento y conquista de la América, traducida por D. Juan Corradi , y cuyos 3 tomos se venden en la librería de Arribas , en la misma calle. Están dibuxadas las 8 del 2.0 y 3.0 tomo, y grabándose las del 2.0, que se darán con toda la fcrevédad p</t>
  </si>
  <si>
    <t>los tomos i.° y, 2.0 de la obra intitulada: Descubrimiento y conquista de la América,traducida por D. Juan Corradi , y cuyos 3 tomos se venden en la librería de Arribas , en la misma calle. Estan grabándose las del tomo 3.que se darán con toda la brevedad posible. El precio de las 4 de cada to</t>
  </si>
  <si>
    <t>ientes á los 3 tomos de la obra intitulada ^Descubrimiento y conquista de la América, traducida por D. Juan Corradi, los quales se venden también en la misma librería con las estampas colocadas en sus respectivos lugares, y sin ellas en la de Arribas, en la misma calle. El precio de las 4 estam</t>
  </si>
  <si>
    <t>Corral, Joseph</t>
  </si>
  <si>
    <t>Joseph Corral</t>
  </si>
  <si>
    <t>n, D. Joseph de Mazarrasa: en el de Zamora el empleo de Ayudante al Teniente* con grado de Capitán, D. Joseph Corral; y.Subtenencia de-bandera al Sargento primero de granaderos D. Bernardo Fernandez: en el de Gua— dalaxara Compañías ai Teniente de granaderos del mismo cuerpo D. Manuel Piferrer,</t>
  </si>
  <si>
    <t>Correa, Joseph</t>
  </si>
  <si>
    <t>Joseph Correa</t>
  </si>
  <si>
    <t>os Ayudantes D. Florencio Amaya y Dóh Juan Casteras; Ayudantías á los primeros Tenientes reformados D. Joseph Correa y D. Juan Arenas: en el de Algarve Compañía al Ayudante, graduado de Capitán, D. Tomas Falcó; y Ayudantía al Teniente, graduado de Capitán, D. Nicolás del Campo: en el de Calatrava Ay</t>
  </si>
  <si>
    <t>Correa, Pedro Ignacio</t>
  </si>
  <si>
    <t>Pedro Ignacio Correa</t>
  </si>
  <si>
    <t>do. S. M. ha conferido el Gobierno militar y político de la plaza de Tarragona al Mariscal de Campo D. Pedro Ignacio Correa, Gobernador de la de Pamplona: el de la de S. Fernando de Fi.gueras, también militar y político, al Brigadier D. Domingo Wiels, Teniente de Rey de la de Barcelona: la Tenencia de</t>
  </si>
  <si>
    <t>adrid t i de Abril. P ara el Gobierno de ia plaza de Pamplona y su Ciudadeia, vacante por salida de D. Pedro Ignacio Correa, ha nombrado el Rey al Mariscal de Campo Marques de Fertera, Gobernador de la ciudad de Mataró: para esta resulta al Coronel D. Antonio Coupigni de Louverbal, Capitán del regimien</t>
  </si>
  <si>
    <t>Corregidor, Lord</t>
  </si>
  <si>
    <t>Lord Corregidor</t>
  </si>
  <si>
    <t>ación. Mr. Rose le dirigió el discurso siguiente: ,, Señor. Nosotros, Leales vasallos de V”. M., el Lord Corregidor &amp;c., venimos á poner á los pies dei trono la expresión de nuestra sincera alegría con motivo del feliz descubrimiento de la conspiración formada contra vuestra persona sagrada. Sa</t>
  </si>
  <si>
    <t>ejante publicidad no influyese en las negociaciones. El día 14 el Secretario de Estado participó al Lord Corregidor como el Lord Whitworth debía salir de Paris el juéves por la noche. Hay noticias de Bombay que los estrechos de Dryan y de Syncapore, están infestados de piratas que han apresado</t>
  </si>
  <si>
    <t>r juzgados en Dublin, y la policía se habla visto obligada á redoblar su actividad y vigilancia. Él Lord Corregidor ha hecho publicar que desde las 9 de la noche hasta las 6 de la mañana estaba prohibido á todos los habitantes salir á la calle. No se permite los domingos recibir á nadie en las</t>
  </si>
  <si>
    <t>tíz éxito. El Conde de Harrington, General del distrito de Lóndres, ha escrito el 18 de este mes al Lord Corregidor , participándole que S. M. se propone pasar revista á los voluntarios del distrito de Lóndres los dias 26 y 28 , para que se den las disposiciones correspondientes á este efecto.</t>
  </si>
  <si>
    <t>Cortes y Madariaga, Joseph</t>
  </si>
  <si>
    <t>Joseph Cortes y Madariaga</t>
  </si>
  <si>
    <t>anongía de merced de la catedral de Caracas, vacante por fallecimiento de D. Pedro Jesús Paredes, á D. Joseph Cortes y Madariaga, Canónigo de la catedral de Santiago de Chile; y para esta vacante á D. Vicente de Larrain, Cuta párroco de dicha catedral. «V ' . . S. M. se ha dignajdoíiioihbrar Comaridanté^en</t>
  </si>
  <si>
    <t>Cortés, Antonio Joseph</t>
  </si>
  <si>
    <t>Antonio Joseph Cortés</t>
  </si>
  <si>
    <t>y es de desear que se extienda su uso. Carmona i.° de Julio, D eseando el Corregidor de esta ciudad D. Antonio Joseph Cortés, que participase este vecindario de los útilísimos beneficios que produce la inoculación de la vacuna, y se están experimentando en otros pueblos del Reyno, se propuso proporciona</t>
  </si>
  <si>
    <t>Cortes, Miguel</t>
  </si>
  <si>
    <t>Miguel Cortes</t>
  </si>
  <si>
    <t>de la Corona al Caballero Page de S. M: D. Joseph de Carrion; Tenencia al Subteniente de granaderos D. Miguel Cortes, y Subtenencias al Sárgentó</t>
  </si>
  <si>
    <t>Cortés, Nicolás</t>
  </si>
  <si>
    <t>Nicolás Cortés</t>
  </si>
  <si>
    <t>oledo: en el de Tuy al Teniente Coronel D. Ramón Gómez, Capitán del de Navarra: en el de Betanzos á D. Nicolás Cortés, Capitán del de la Corona:: en el de Cuenca á D. Pedro Guerrero, Ayudante del provincial de Orense: en el de Alcázar de S. Juan á D. Tomas Cano , Capitán del de infantería de la C</t>
  </si>
  <si>
    <t>Cortes, Pedro</t>
  </si>
  <si>
    <t>Pedro Cortes</t>
  </si>
  <si>
    <t>agoza, graduado de Teniente Coronel, D. Atanasio Salazar: la del de Africa al Capitán del de Zamora D. Pedro Cortes: ía del de Zamora al Capitán del propio cuerpo, graduado de Teniente Coronel, D. Juan Ramón Marty: la del de Soria al Capitán del de León D. Joseph Sebastian y Raon: la del de Cór</t>
  </si>
  <si>
    <t>Cortés, Pedro</t>
  </si>
  <si>
    <t>Pedro Cortés</t>
  </si>
  <si>
    <t>Betegón, D. Joseph Montes Salazar, D. Nicolás Antuñano y D. Antonio Casano; á los del de Ingenieros D. Pedro Cortés y D. Francisco Villa</t>
  </si>
  <si>
    <t>Corts, Francisco</t>
  </si>
  <si>
    <t>Francisco Corts</t>
  </si>
  <si>
    <t>n el de Voluntarios de la Corona á Teniente Coronel al Comandante del tercer batallón del de Murcia D. Francisco Corts ; y á Subtenientes de bandera á ios Sargentos primeros D. Agustín Devidé y D. Lucas Arjó; y ha concedido en el dé Valencia Capellanía ai presbítero D. Franeisé'o Antonip de Antuña</t>
  </si>
  <si>
    <t>Corts, Ignacio</t>
  </si>
  <si>
    <t>Ignacio Corts</t>
  </si>
  <si>
    <t>ona, vacantes por los fallecimientos de D. Agustín Soler., D. Cayetano Torrent y D. Diego Angulo, á D. Ignacio Corts, D. Josepli Caballol y D. Eudaldo Villardeli: para un Beneficio de parentela de la catedral de Vique, baxo la invocación de S. Pablo, á D. Francisco Travería: para el Beneficio de</t>
  </si>
  <si>
    <t>Corvella y Fondevila, Antonio</t>
  </si>
  <si>
    <t>Antonio Corvella y Fondevila</t>
  </si>
  <si>
    <t>ibros de medicina y cirugía que se hallan en la librería de Campo, calle de Alcalá, propios del Df. D. Antonio Corvella y Fondevila, Médico de la Real armada de S. M. -Tratado*de las enfermedades del pecho , un tomo en 8.°, á 11 rs. er pasté. = Tratado de ias: enfermedades dél vientre, un tomo en-8.°, á ro rsi</t>
  </si>
  <si>
    <t>Cosme</t>
  </si>
  <si>
    <t>de la clase del maestro D. Juan, Don Anastasio Costadoat y D. Francisco Romero y Cepeda , de la de D. Cosme , una banda cada uno azul y encarnada, con sello de la Sociedad bordado de plata y sedas de colores , costeadas á expensas del dicho Secretario: Nicolás López y Francisco Gordillo</t>
  </si>
  <si>
    <t>Cosme Álvarez y Rossart</t>
  </si>
  <si>
    <t>ailin y Barón de Hinx: la del de Valencia ai Sargento mayor del propio cuerpo, graduado de Coronel, D. Cosme Alvarez y Rossart: las de los de Africa, Zamora, Soria, Córdoba, Zaragoza, Toledo, Murcia, Irlanda, Hibernia, Uitonia, Jaén, Voluntarios de Castilla y Voluntarios de la Corona, á los Sargentos mayo</t>
  </si>
  <si>
    <t>Cosme Bascon</t>
  </si>
  <si>
    <t>uez, los 41 para gramática, 16 para oficios, y q para la agricultura; y de la del cargo del maestro D. Cosme Bascon 17, los 13 para gramática, y para oficios 4: después se adjudicáron los premios de este año , obteniendo Joseph Paez las Instituciones filosóficas del Arzobispo de León,y D. Juan</t>
  </si>
  <si>
    <t>Cosme Churruca</t>
  </si>
  <si>
    <t>Supl., p. 5</t>
  </si>
  <si>
    <t>.................. 16. 13. Idem de las islas Antillas con parte de la costa firme hasta Cumaná, por D. Cosme Churruca , Brigadier de la Real Armada, y D. Joaquín Francisco Hidalgo, Capitán de Navio de ella. — La exactitud de los métodos de que han hecho uso estos Oficiales en su trabajo, obliga á</t>
  </si>
  <si>
    <t>Cosme Gallar</t>
  </si>
  <si>
    <t>vacante en la parroquia de Vimbodi, diócesis de Tarragona, por renuncia de D- Buenaventura Muro, á D. Cosme Gallar: para otro de la parroquial de la villa de Sadaba, diócesis de Jaca, vacante por fallecimiento de D. Joseph Lacasa, á £►. Joseph Manuel Lorbes: para dos dos Beneficios simples ser</t>
  </si>
  <si>
    <t>Cosme García Parro</t>
  </si>
  <si>
    <t>Stameras de Constanzana y -S» Vicente, en la misma diócesis de Avila, vacantes por fallecimiento de D. Cosme García Parro, á D. Gregorio López: para el Arciprestazgo de Caracena , en el obispado de Sigiienza, vacante por promoción de D. Miguel Alonso á una Canongía de "Cuenca, y por renuncia que ha h</t>
  </si>
  <si>
    <t>Cosme García Porro</t>
  </si>
  <si>
    <t>amirez, á D. Pedro Sánchez Llórente: para otro, vacante en la misma parroquial por fallecimiento de D. Cosme García Porro, áD. Ambrosio Delgado, con la obligación de precisa y personal residencia que tiene anexa; y para otro Beneficio que se halVa vacante en la parroquial de Autilla del Páramo, en la</t>
  </si>
  <si>
    <t>Cossigni</t>
  </si>
  <si>
    <t>eficaz para curar las lombrices,y aun también la tenia ó gusano solitario. Los ciudadanos Cossigni, Nauche, Doussin-Dubreuil, Tourlet y Legou-de-b laix, han sido nombrados para examinar este medicamento , y determinar el grado de confianza que se puede tener</t>
  </si>
  <si>
    <t>Cotton, Almirante</t>
  </si>
  <si>
    <t>Almirante Cotton</t>
  </si>
  <si>
    <t>cano la Celia&gt; á quien, escoltaba, y que por consiguiente ha sido represado. Se asegura que el Vice-Almirante Cotton va á reemplazar al ViceAlmirante Cornwallis en el mando de la escuadra dei Canal. Todas las: fragatas, balandras y cúters afinando del Almirante Colpoys, tienen orden de estar en</t>
  </si>
  <si>
    <t>Courrejolles</t>
  </si>
  <si>
    <t>sa: en todo 510 alumnos. tt Parts 2j de Noviembre. Xla vuelto á esta capital el ciud. Courrejolles, que los ingleses habían hecho prisionero, creyendo ser Gerónimo Bonaparte, y en una larga carta al Comisario principal de correos, expone los diversos contrat</t>
  </si>
  <si>
    <t>Courtnay</t>
  </si>
  <si>
    <t>eloqiiencia del discurso de Mr. Pitt, dice que no es de su opinión acerca de las fortificaciones.__ Mr. Courtnay responde al Secretario de la Guerra._Mr. Windhana enuncia los buenos efectos que espera de la eloqiiencia de Mr. Pitt: dice que los discursos tan censurados del Coronel Crawford h</t>
  </si>
  <si>
    <t>Covian, Rafael</t>
  </si>
  <si>
    <t>Rafael Covian</t>
  </si>
  <si>
    <t>la navegación por el Sr. Mendoza, el Tratado de maniobras de abordo y la Cosmografía del Sr.Ciscar. Don Rafael Covian, por las de trigonometría, cosmografía y dibuxo, que se le premió con el Compendio de matemáticas por Bails, «1 de Astronomía de lá Lande, el Tratado de cosmografía por ei Sr. Cis</t>
  </si>
  <si>
    <t>Crame, Felipe</t>
  </si>
  <si>
    <t>Felipe Crame</t>
  </si>
  <si>
    <t>po de Artillería se ha dignado el Rey promover á Coronel al Teniente Coronel , graduado de Coronel, D. Felipe Crame. , ■ S. M. ha oonferjdo en los regimientos provinciales, Compañía en. el de Móndónedó al Teniente de granaderos D. Tomas Pardo; Tenencias .en los de Ecija, Sigiienza y Ciudad Real</t>
  </si>
  <si>
    <t>Crauford</t>
  </si>
  <si>
    <t>pletamente derrotado.---- El General Gascoyne se lamenta del lenguage pusilánime con que se expresó Mr. Crauford en los debates anteriores, aludiendo á la posibilidad de que el enemigo se apodere de nuestra capital, y á la suposición de que en este caso sea conquistado todo el pais. (No! no! g</t>
  </si>
  <si>
    <t>Crauford, Coronel</t>
  </si>
  <si>
    <t>Coronel Crauford</t>
  </si>
  <si>
    <t>que el haber hecho salir la gente de la galería á proposición del Secretario de la Guerra quando el Coronel Crauford empezaba á hablar, ha sido porque iba á tratar de ciertos pormenores militares. Con dificultad nos persuadimos que este oficial pudiese decir cosa que fuese útil saberla al enemigo.</t>
  </si>
  <si>
    <t>Crauford, General</t>
  </si>
  <si>
    <t>General Crauford</t>
  </si>
  <si>
    <t>tal, y á la suposición de que en este caso sea conquistado todo el pais. (No! no! gritan varios: el General Crauford dice que no es esta su opinión.) La nación será defendida por sí misma, y la Cámara será apoyada por sus constituyentes, sin necesidad de tropas regladas___ Mr. Crauford se discul</t>
  </si>
  <si>
    <t>Crawford</t>
  </si>
  <si>
    <t>déta inútil el establecimiento de un consejó de guerra___ Mr. Pitt aprueba en gran parte el plan de Mr. Crawford: manifiesta la necesidad de asegurarse, y’se extiende sobre las providencias que se tomáron en la última guerra quando era menor el peligro y débiles las amenazas. Y con</t>
  </si>
  <si>
    <t>Crawford, Coronel</t>
  </si>
  <si>
    <t>Coronel Crawford</t>
  </si>
  <si>
    <t>ultarla un daño irreparable; —— Hubo varios pareceres sobre este y otros puntos, y luego propuso el Coronel Crawford que hubiese facultad de formar del exército de reserva regimientos de tropas regladas. Se manifestó sorprehendido de que no se hubiese descubierto claramente la peligrosa situació</t>
  </si>
  <si>
    <t>lo por ser dudoso el suceso__-Sigue alabando el modo que tuvo de producirse algunas noches antes et Coronel Crawford: dice que no desaprueba el plan propuesto por el Ministro de la Guerra; pero que según su dictámen debería ser este el ultimo recurso de que se echase mano, por quanto no se podra</t>
  </si>
  <si>
    <t>que no esperaba se-encontrase en ella^quien no se apresurase á socorrer la patria amenazada.,_..El Coronel Crawford habló en favor del b\ll. ,, Se me ha censurado, dixo, de haber exagerado nuestros peligros, quanio se propusieron al examen de la Cámara las providencias para poner el Reyflo en e</t>
  </si>
  <si>
    <t>do se'establezca un consejo de guerra.^._El Secretario de la Guerra aprueba muchas de las ideas del Coronel Crawford, y "'dice qué'iéis son mu^ fániilia'rés á los que sé ocupan por obligación en la 'defensa ?del'Rey no.'__1 Desaprueba el' ptoyecto de fortificarse, y considéta inútil el estableci</t>
  </si>
  <si>
    <t>buenos efectos que espera de la eloqiiencia de Mr. Pitt: dice que los discursos tan censurados del Coronel Crawford hicieron conocer ai pueblo su peligro, y que el gobierno se decidiera á obrar, y se manifiesta convencido de lo ventajoso que seria un Consejo de guerra.__ Se separó la junta.__ N</t>
  </si>
  <si>
    <t>que un extracto de la ¡unta de la Cámara de los Comunes de ayer, porque apenas comenzó á hablar el Coronel Crawford, quando á propuesta de Mr. Frankland se hizo salir la gente de las galerías. Se trataba todavía de la defensa de la nación, y solo se sabe lo siguiente de una qiiestion, cuyos deb</t>
  </si>
  <si>
    <t>ensa qu-e convendría adoptar.”^_El Canciller del Echiquier respondió á varios de los argumentos del Coronel Crawford. En quanto á las interpelaciones que se le hicieron relativas al Príncipe de Gales, dixo que la oferta de sus servicios hacia á S. A. R. el mayor honor; pero qué sobre este asunto</t>
  </si>
  <si>
    <t>a f arga arenga, en toda la qual se manifestó siempre adicto á las proposiciones de Mr. Windham. El Coronel Crawford, siguiendo el mismo plan que el orador antecedente, dixo: ,,Que si la Cámara accedía á la presente propuesta, ¿que mayor recompensa podría dar á los voluntarios quando estos por s</t>
  </si>
  <si>
    <t>Creuet, Francisco</t>
  </si>
  <si>
    <t>Francisco Creuet</t>
  </si>
  <si>
    <t>ó; á Teniente de esta á D. Matías Barguilla, y á Subtenientes de la propia compañía á fot Sargentos D. Francisco Creuet y D. Joaquín Escandon. Habiéndose también dignado S. M. conferir Subtenencias en ios regimientos tercero y quinto ael propio Real cuerpo á los Cadetes D.Vicente González Moro* del reg</t>
  </si>
  <si>
    <t>Criado, Antonio</t>
  </si>
  <si>
    <t>Antonio Criado</t>
  </si>
  <si>
    <t>ariano Folch con bastante acierto, fué gratificado con ocho onzas de plata.—El mismo de escultura á D. Antonio Criado.__ El tercero de pintura, de una medalla de ocho onzas, á Don Diego de Cuenca; y por haber trabajado con igual mérito én su objeto D.Félix del Castillo, fué gratificado con otras</t>
  </si>
  <si>
    <t>Crisanto López</t>
  </si>
  <si>
    <t>de Castilla Tenencia al Subteniente D. Ramón .López. Atendiendo el Rey á los méritos y servicios de D. Crisanto López, Tesorero del Real sitio de Aranjuez, se ha servido concederle los honores de Tesorero de exército. En América. El Rey se ha servido nombrar para una Media-Ración de la catedral d</t>
  </si>
  <si>
    <t>Crispin Martínez Cardeza</t>
  </si>
  <si>
    <t>y el Diccionario geográfico por Mompalao. Don Pedro Joseph Cabrera, D. Francisco López "Villapol y D. Crispin Martínez Cardeza, que se distinguieron por la clase de geometría, el primero con el Curso de Bezout, y cada uno de los dos últimos con el de Matemáticas por D. Tadeo Lope y la Trigonometría de Cag</t>
  </si>
  <si>
    <t>Crispin Moya de la Torre</t>
  </si>
  <si>
    <t>ía y Tenencia á los Teniente y Subteniente de granaderos D. Patricio Meckel, graduado de Capitán, y D. Crispin Moya de la Torre. S. M. se ha servido promover á Alférez en el regimiento de caballería de Barbón al Portaestandarte D. Manuel Gómez de Barreda; y en el de -cazadores de Villaviciosa á Teniente al</t>
  </si>
  <si>
    <t>Cruells, Joseph</t>
  </si>
  <si>
    <t>Joseph Cruells</t>
  </si>
  <si>
    <t>e Coronel, D. Manuel Armengol: la del de España al Capitán del de Zara-' goza, graduado de Coronel, D, Joseph Cruells: la del de Toledo al Ca-; pitan del de Mallorca, graduado de Teniente Coronel, D. Pedro Saenz: la del de Mallorca al Capitán del de Voluntarios de la Corona, graduado de Teniente</t>
  </si>
  <si>
    <t>Cruzat, Joseph</t>
  </si>
  <si>
    <t>Joseph Cruzat</t>
  </si>
  <si>
    <t>, el segundó, tercero y quinto Ayudantes, y el quarto de granaderos; á Ayudan-' tes á los Tenientes D. Joseph Cruzat, D. Domingo Bouligny y D. Igna-! cío Fernandez; á Tenientes de granaderos á los de fusileros D. Cayetano Perez y D. Pedro Palao ; á Tenientes á los Subtenientes D*. Juan Bautista</t>
  </si>
  <si>
    <t>Ctínde de Goerh</t>
  </si>
  <si>
    <t>os estados de Italia, ha llegado á Venecia. tt-» Riitisbona ij de Diciembre. ül Ctínde de Goerh, Ministro de Prusia, ha publicado una declaración contra la ultima nota del Plenipotenciario imperial. Dice en ella: que la diputación no debe mirar con indiferencia que el tcoticlnsum gene</t>
  </si>
  <si>
    <t>Cubillas Donyagiie, Francisco</t>
  </si>
  <si>
    <t>Francisco Cubillas Donyagiie</t>
  </si>
  <si>
    <t>ligiosás’pára su espiritual perfecciónpor S. Francisco de Sales: traducido del italiano por el Lie. D. Francisco Cubillas Donyagiie. Se hallará en la librería de Villareal, calle de las Carretas. Tratado dje Jas ¿enfermedades endémicas, epidémicas’y contagiosas de toda especie de ganados: sus causas, síntomas</t>
  </si>
  <si>
    <t>Cubillas, Manuel</t>
  </si>
  <si>
    <t>Manuel Cubillas</t>
  </si>
  <si>
    <t>mero de granaderos D. Joseph Perez; y en el de infantería de Nueva-España á Teniente al Subteniente D. Manuel Cubillas; á Subtenientes de granaderos á los de fusileros D. Juan Soiis y Don</t>
  </si>
  <si>
    <t>Cucalón, Vicente</t>
  </si>
  <si>
    <t>Vicente Cucalón</t>
  </si>
  <si>
    <t>En el Real cuerpo de Artillería se ha servido S.' M. promover á Capitanes segundos á U&gt;s .Tenientes D. Vicente Cucalón y D. Mariano Antia. S. M. se ha servido nombrar para la Vara de Alcalde mayor de la villa de Camproden, en Cataluña, á D. Ramón de Lomarla , Abogado del Colegio de esta corte ; para l</t>
  </si>
  <si>
    <t>Cuellar, Joseph María</t>
  </si>
  <si>
    <t>Joseph María Cuellar</t>
  </si>
  <si>
    <t>, . , ¡,; £1 Rey se lia-servhjo-nOiñbrairpára-ei- Corregimiento’dé letras de la ciudad dé; Toro ;i D. Joseph María Cuellar i para el dé la ylllá de? Gácéres á D. Manuel Oftizrdé Pinedo : para el de la de' Arahda de Duero I D. Juan Antonio Mdntiel'Bullón: para la Vara' dé Alcalde; mayor de la ciudad* d</t>
  </si>
  <si>
    <t>Cuerda, Francisco</t>
  </si>
  <si>
    <t>Francisco Cuerda</t>
  </si>
  <si>
    <t>y Prior perpetuo del Real eonvento de Santiago de Uclés; habiendo sido el consagrante el limo. Sr. D. Francisco Cuerda, Obispo que fue de Puerto-Rico, y los asistentes los limos. Sres. D. Atanasio Puyal y Po</t>
  </si>
  <si>
    <t>Cueto, Luis</t>
  </si>
  <si>
    <t>Luis Cueto</t>
  </si>
  <si>
    <t>onio Vicente Fernandez : la del de Borbon alCapitán del de Mallorca, graduado de Teniente Coronel , D. Luis Cueto: ’ la del de Nápoles al Capitán. d$l. misino^ ci^erpQ, graduado de Teniente Coronel , D. Francisco Borlascá: la del de Suizos de Schnjtd aPGapitanó segundo del propio regimiento,</t>
  </si>
  <si>
    <t>Cundaro, Joaquín</t>
  </si>
  <si>
    <t>Joaquín Cundaro</t>
  </si>
  <si>
    <t>o al Ayudante segundo D. Marco Aurelio Monti: en el de Gerona también á Capitán segundo al Teniente D. Joaquín Cundaro, y á Subteniente de bandera al Cadete D. Francisco Scafin. En América. El Rey se ha servido promover en el esquadron de Dragones' de Luzón, en Filipinas, á Teniente al Alférez D.</t>
  </si>
  <si>
    <t>Curtenay</t>
  </si>
  <si>
    <t>re tos abusos de la mariná; y algunos vocales pidiéron se suspendiese hasta el- t de Febrero* -i-i. Mr. Curtenay dixo, ' [ue se debía reparar" que las objeciones no recaían contra la tercera ? ectura del bilí, sino que los vocales confesando que nada tenían que decir contra el bilí, pedían s</t>
  </si>
  <si>
    <t>Curtís del Cabo de Buena-Esperanza, Almirante</t>
  </si>
  <si>
    <t>Almirante Curtís del Cabo de Buena-Esperanza</t>
  </si>
  <si>
    <t>4*S Í’*Ll Almirantazgo ha recibido Londres 26de Abril. pliegos del Almirante Curtís del Cabo de Buena-Esperanza con fecha de 22 de Febrero, y por ellas consta que entrego el Cabo á las tropas bátavas el 2 del mismo mes. Quando el buque que ha trahido ia noticia dio la vela, quedaba todo pro</t>
  </si>
  <si>
    <t>Cúrvia de Torrevedrá, Fernando María</t>
  </si>
  <si>
    <t>Fernando María Cúrvia de Torrevedrá</t>
  </si>
  <si>
    <t>nte por fallecimiento de D. Antonio Vicente Yañez, al Alcaide,, de la-Qtiadrá de lá misma Audiencia D. Fernando María Cúrvia dé Torrevedrá; y para esta resulta á D. Juan Eugenio de Calzadilía y Grimatdi. . Asimismo ha venido el Rey en jubilar al Alcalde mayor de la ciudad de Murcia D. Joseph Ximenez de Cenarbe, y en</t>
  </si>
  <si>
    <t>Dalman, Francisco</t>
  </si>
  <si>
    <t>Francisco Dalman</t>
  </si>
  <si>
    <t>e, Censor del cuerpo, recitó una canción á las bellas artes; y los individuos Dr. D. Simón Argote y D. Francisco Dalman pronunciaron dos discursos filosóficos, el primero sobre la influencia de las artes en las costumbres; y el segundo acerca del erigen de su decadencia, y de los medios de restable</t>
  </si>
  <si>
    <t>Dámaso de Vargas</t>
  </si>
  <si>
    <t>de bandera al Cadete D. Antonio de Miranda: en el de Murcia á Teniente al Subteniente de granaderos D. Dámaso de Vargas ; y á Subtenientes dé bandera al Subteniente reformado de Milicias D. Manuel María dePeñafedonda, y ai Sargento primero de granaderos D. Manuel Devis: en el de Hibernia á Ayudante</t>
  </si>
  <si>
    <t>Dámaso Torrecilla, Antonio</t>
  </si>
  <si>
    <t>Antonio Dámaso Torrecilla</t>
  </si>
  <si>
    <t>886 enseñanza del Catedrático substituto por'S. M. D. Antonio Dámaso Torrecilla, Médico de numero de los mismos hospitales, y de D. Agustín Jérutos, Cirujano de ellos, y maestroAemostrador ,..comisionó la .junta á los .Sres.. Consiliarios de.ella Marques; de</t>
  </si>
  <si>
    <t>Damián Bonard</t>
  </si>
  <si>
    <t>regimiento de infantería Suizo de Reding al Subteniente de granaderos D. Joseph Zeberg, y al Cadete Don Damián Bonard. S. M. se ha servido conferir en el regimiento de caballería de Farnesio Ayudantía al primer Teniente reformado D. Gregorio Prieto: en el de Montesa el empleo de Portaestandarte a</t>
  </si>
  <si>
    <t>Daniel Segismundo de Hake</t>
  </si>
  <si>
    <t>icio de la casa de AustriaJ y Gobernador que también fué de la referida ciudad de Malinas, viuda de D. Daniel Segismundo de Hake, Capitán en el Regimiento de Saxonia Gotha, infantería ■walona, al servicio de la casa de Austria, según mas circunstanciadamente se contiene en el predicho acto. Y siendo una cir</t>
  </si>
  <si>
    <t>Daoiz, Miguel María</t>
  </si>
  <si>
    <t>Miguel María Daoiz</t>
  </si>
  <si>
    <t>.Dignidad de Enfermero de la catedral de Pamplona, vacante por fallecimiento de D. Joaquin Zala , á D. Miguel María Daoiz: para la Dignidad de Maestrescuela de la catedral de Orihuela , con la pensión de 4© rs. á favor de la Real capilla de S. M., á Don Joaquin Ximeno: para la Dignidad de Chantre de</t>
  </si>
  <si>
    <t>Darcourt, Nicolás</t>
  </si>
  <si>
    <t>Nicolás Darcourt</t>
  </si>
  <si>
    <t>Coroneles, D. Pedro Labastida, D. Joseph Imaz, D. Antonio Moya, D. Antonio Luxan, D. Luis Bertrán, D. Nicolás Darcourt, D. Francisco de Corts, D. Cárlos Fitzgerald, D. Juan Brikdale, D. Juan O-Donovan, D. Juan Ponce de León , D. Antonio Lechuga y D. Joseph O-Donell: las de los de 1a Reyna, Corona,</t>
  </si>
  <si>
    <t>Dargúibel, Andrés</t>
  </si>
  <si>
    <t>Andrés Dargúibel</t>
  </si>
  <si>
    <t>1 y 284738 ; y otro de 150 pesos, creación' de i.p de Setiembre , núm. 209914 : todos endosados por D. Andrés Dargúibel á favor de dichos Sres. Llera, y últimamente por estos al del referido D. Pedro María de Ampuero. Y no habiendo llegado á su destino, se suplica á la persona que sepa su paradero</t>
  </si>
  <si>
    <t>Darneley, Lord</t>
  </si>
  <si>
    <t>Lord Darneley</t>
  </si>
  <si>
    <t>erderían un momento en informar á la Cámara quando este informe pueda hacerse sin inconveniente. El Lord Darneley remitió su propuesta al lunes próximo---- En la Cámara de los Comunes, en el mismo dia, pidió el Chanciller del Echiquier que se tuviese en consideración la parte del discurso de</t>
  </si>
  <si>
    <t>Darnley, Lord</t>
  </si>
  <si>
    <t>Lord Darnley</t>
  </si>
  <si>
    <t>no para ganar tiempo. La conducta de los Ministros merece en su dictamen aprobación, no censura. £1 Lord Darnley no halla que los Ministros cometiesen mas falta que la de no haber resistido desde el principio al primer Cónsul, y el Lord Borringdon solo se queja de que se hallen excluidos de</t>
  </si>
  <si>
    <t>Darrest</t>
  </si>
  <si>
    <t>o. Mr. Knobelsdorff, Ministro de Prusia, no había emprendido su viage para Berlín por estar enfermo Mr. Darrest, que lo reemplaza en calidad de Encargado de Negocios; pero hallándose restablecido va á executarlo. Petersburgo 16 de Noviembre. E 1 Emperador ha condecorado con la orden de Sta.</t>
  </si>
  <si>
    <t>Darye, General</t>
  </si>
  <si>
    <t>General Darye</t>
  </si>
  <si>
    <t>entre la Suecia y la Regencia de Trípoli. Esta alliaja es enteramente semejante á la que se dió al General Darye,-mientras permaneció en esta capital Lvos’otros, dos Comisarios franceses han recibido también presentes en hombre de S. M. &lt;- El Rey ha permitido usar- á las- ¿señoras: en sus pe</t>
  </si>
  <si>
    <t>Daubenton</t>
  </si>
  <si>
    <t>s, procedentes de perro y loba , todo ello en 51 estampas iluminadas; á que se añade un discurso de Mr. Daubenton sobre las distribuciones metódicas de los animales quadrúpedos. Se hallará en la librería de Baylo, calle de las Carretas. El tomo xvnr, en que se concluye la historia de los quad</t>
  </si>
  <si>
    <t>Dauberiton</t>
  </si>
  <si>
    <t>á 46 rst en rústica y 53 en pasta. Al fin del tomo 1/ de dicha1 historia se jialla un- discurso dé Mr. Dauberiton sobre las distribuciones metódicas de los animales quadrúpedos ,-en el qual se corroboran los fundados motivos que tuvo él Conde de BufFon para no seguir, en la historia de dichos</t>
  </si>
  <si>
    <t>Dávila, Vicente</t>
  </si>
  <si>
    <t>Vicente Dávila</t>
  </si>
  <si>
    <t>ineros D. Rafael de Silva; á esta resulta al Alférez D. Gregorio Cebollero, y á Alféreces al Cadete D. Vicente Dávila y al Sargento primero de carabineros, gradeado. de Alférez, D. Pedro Ramírez. , ‘ Conociendo S. -la utilidad dé la Botánica , y lo mucho qiiíPlnfluye eñ la Medicina, hárrnacía y Eco</t>
  </si>
  <si>
    <t>de Abreu y del Moral, Joseph</t>
  </si>
  <si>
    <t>Joseph de Abreu y del Moral</t>
  </si>
  <si>
    <t>la de la villa de Medelllft á D. Vicente Alonso de Anira&amp;e: para la de la de Villarejo de Fuentes á D. Joseph de Abreu y del Moral:, para la de la de Yecla á D. Francisco de Verea y Cornejo; y para la die la de Bodonal, que este dexa, á D. Félix Antonio de. Ramos. También se ha servido; S. M. nombrar para la</t>
  </si>
  <si>
    <t>de Acedos Bravo, Juan</t>
  </si>
  <si>
    <t>Juan de Acedos Bravo</t>
  </si>
  <si>
    <t>a tienda del Rubio; y en Cádiz en casa de D. Manuel Navarro. Los Interesados en la testamentaría de D. Juan de Acedos Bravo, Aqente que lu® de negocios en esta corte, comparecerán dentro de 30 días, contados desde el</t>
  </si>
  <si>
    <t>de Affry, Luis</t>
  </si>
  <si>
    <t>Luis de Affry</t>
  </si>
  <si>
    <t>diputados suizos , se terminó la audiencia._El mismo día partió para Berr na el ciud. Luis de Affry, primer Landamman de la Suiza. Por un decreto del Capitán general y Prefecto colonial de la Martinica , del qual se ha remitido copia al Prefecto marítimo del</t>
  </si>
  <si>
    <t>de Afí’ry, Luis</t>
  </si>
  <si>
    <t>Luis de Afí’ry</t>
  </si>
  <si>
    <t>ón , firmada, refrendada y sellada con el gran sello del estado, la .entregó al ciud. Luis de Afí’ry, nombrado Landamman de Suiza. El primer Cónsul habló largo tiempo con cada tino de los miembros de las dos comisiones suizas, y se terminó la audiencia. El lun</t>
  </si>
  <si>
    <t>de AfTry, Luis</t>
  </si>
  <si>
    <t>Luis de AfTry</t>
  </si>
  <si>
    <t>hemenage de nuestro profundo respeto.__ Habiendo el primer Cónsul respondido al ciud. Luis de AfTry, y conversado con varios de los diputados suizos , se terminó la audiencia._El mismo día partió para Berr na el ciud. Luis de Affry, primer Landamman de la Sui</t>
  </si>
  <si>
    <t>de Aguilar y Romero, Francisco</t>
  </si>
  <si>
    <t>Francisco de Aguilar y Romero</t>
  </si>
  <si>
    <t>osa , marido que fué de Doña Antonia Agustina de Agramont, hija de Dona María del Castillo, acuda á D. Francisco de Aguilar y Romero, que vive calle del León , casa del cotillero, quien dará noticia de ciertos papeles que pueden ser muy útiles á esta familia. Se halla vacante la plaza de Médico de la villa de C</t>
  </si>
  <si>
    <t>de Aguilar, Joaquín</t>
  </si>
  <si>
    <t>Joaquín de Aguilar</t>
  </si>
  <si>
    <t>n D. Francisco Xavier Mazuelo para una Media-Radon de la catedral de Córdoba, vacante por muerte de Don Joaquín de Aguilar, á causa de la menor edad del agraciado, quiere S. M. se verifique en el presbítero D. Joseph Joaquín Mazuelo. S. M. se ha servido conceder en el regimiento de infantería de Valen</t>
  </si>
  <si>
    <t>de Aguilera y Aguilera, Antonio</t>
  </si>
  <si>
    <t>Antonio de Aguilera y Aguilera</t>
  </si>
  <si>
    <t>nta general del día 17 de Diciembre, adjudicó: una medalla de cobre á su individuo actual de número D. Antonio de Aguilera y Aguilera, en premio del talento y aplicación que en todo el año ha manifestado en sus exercicios literarios. S, M. á consulta del supremo Consejo de Castilla se ha servido conceder á la vi</t>
  </si>
  <si>
    <t>de Aguilera y Contreras, Gaspar</t>
  </si>
  <si>
    <t>Gaspar de Aguilera y Contreras</t>
  </si>
  <si>
    <t>Cabezas, en el arzobispado de Sevilla, vacante por muerte de D. Mariano de Aguilera y Contreras, á D. Gaspar de Aguilera y Contreras. En el regimiento de infantería de la Corona se ha servido S* M. conceder Tenencia al Subteniente de granaderos D. Lázaro Ruiz; y también ha nombrado segundo Ayudante del batallón</t>
  </si>
  <si>
    <t>de Aguilera, Rafael</t>
  </si>
  <si>
    <t>Rafael de Aguilera</t>
  </si>
  <si>
    <t>pertenecientes á la Dirección de trabajos hidrográficos, que se venden en Madrid en la Librería de D. Rafael de Aguilera, , calle de Relatores, y en la Imprenta Real: en las Academias de Guardias Marinas de la isla de León, Fenol y Cartagena: en . Cádiz en la Librería de D. Victoriano Pajares: en Ca</t>
  </si>
  <si>
    <t>de Alava, Ignacio</t>
  </si>
  <si>
    <t>Ignacio de Alava</t>
  </si>
  <si>
    <t>Supl., p. 11</t>
  </si>
  <si>
    <t>azar. MAR DE CHINA. En fines de Abril del ano de 800 comisionó el Comandante de la esquadra de Asia D. Ignacio de Alava á la fragata Santa Lucía, del cargo del Capitán de Navio D. Francisco Riquelme al reconocimiento del baxo nombrado Masinloc ó Scarborough, que dista 44 leguas próximamente de la p</t>
  </si>
  <si>
    <t>consistir en dos piedras distantes media legua entreoí, en dirección NNE SSO; y habiendo destacado D. Ignacio de Alava á la fragata de guerra Pilar y á la corbeta Luconia en fines de Marzo de 801 á averiguar si era cierta ó 110 la existencia de tal baio, nada avistaron á pesar de las eficaces dili</t>
  </si>
  <si>
    <t>de Albini, Barón</t>
  </si>
  <si>
    <t>Barón de Albini</t>
  </si>
  <si>
    <t>bávaras en Austria. Se han reunido todos los Ministros Electorales en casa del Barón de Albini, Ministro dírectorial del Colegio electoral, para deliberar sobre el partido que ha de tomarse en orden á la introducción de los quatro nuevos Electores en el colegio. Se decretó á unanimid</t>
  </si>
  <si>
    <t>na 4 de Agosto. M r. Sieveking, diputado de la ciudad de Hamburgo, paso ayer al Barón de Albini, Ministro directcrial de la Dieta, una memoria muy circunstanciada relativa al convenio particular que han firmado el Bey de .Dinamarca y la ciudad imperial de Hamburgo , en virtud del qual</t>
  </si>
  <si>
    <t>de Aldama, Sebastián</t>
  </si>
  <si>
    <t>Sebastián de Aldama</t>
  </si>
  <si>
    <t>ta. Cecilia, que entró en el puerto de Santander en Noviembre del año pasado, se hallan en poder de D. Sebastian de Aldama, del comercio de dicha ciudad, 4© pesos fuertes, embarcados de orden de D. Agustín del Corralj</t>
  </si>
  <si>
    <t>de Aldazabal, Francisco Xavier</t>
  </si>
  <si>
    <t>Francisco Xavier de Aldazabal</t>
  </si>
  <si>
    <t>to cUl Dr. D. Juan de E&gt;ios Pereyra. » Jal Maestrescuela de la propia iglesia D. Francisco Xavier de Aldazabal: para, la Maestrescolía al Tesorero D. Joseph Fernando Baeza: para esta Tesorería al Canónigo D. Carlos Joseph Rodríguez y para la Canongía al Racionero D. Joseph NarcisoDongo. As</t>
  </si>
  <si>
    <t>de Alippi, Joseph María</t>
  </si>
  <si>
    <t>Joseph María de Alippi</t>
  </si>
  <si>
    <t>de Numancia, primero de Húsares, á Capitán al Ayudante mayor D. Joseph López, y á Alférez al Cadete D. Joseph María de Alippi. En América. El Rey se ha servido conferir Compañía en el regimiento de infantería de Buenos-Ayres á D. Joseph Pilis, A3Tudante veterano del batallón de Milicias disciplinada-s de</t>
  </si>
  <si>
    <t>itán, D. Felipe Cadroy; Tenencia al Alférez D. Manuel Bretón , y el empleo de Alférez á los Cadetés D. Joseph María de Alippi,y D. Manuel Santander: en el de húsares de María Luisa Compañía al Ayudante, graduado de Capitán, D. Nicolás'Moreno,' y para esta resulta al Teniente D. Cárlos Borelli; y en el de</t>
  </si>
  <si>
    <t>de Alzate y Ramirez, Joseph Antonio</t>
  </si>
  <si>
    <t>Joseph Antonio de Alzate y Ramirez</t>
  </si>
  <si>
    <t>ireynato de México, dedicado á los sabios miembros de la Academia Real de las ciencias de París por D. Joseph Antonio de Alzate y Ramirez. Comprehende el arzobispado de México y los obispados de Oaxaca , Valladolid , Guadalaxara y Durango, con otras muchas provincias al norte dé este Vireynato : su precio 14 rs. Se</t>
  </si>
  <si>
    <t>de Amat, Félix</t>
  </si>
  <si>
    <t>Félix de Amat</t>
  </si>
  <si>
    <t>da en la de Moreno; Historia Eclesiástica, ó tratado de la Iglesia de Jesuehristo, por el limo. Sr. D. Félix de Amat, Arzobispo de Palmita y Abad de S. Ildefonso, antes Canónigo Magistral de Tarragona: tomo 12 y último, que contiene la serie de los Romanos Pontífices, y los sucesos generales de</t>
  </si>
  <si>
    <t>de Amaya, Andrés</t>
  </si>
  <si>
    <t>Andrés de Amaya</t>
  </si>
  <si>
    <t>Casas, á Don Pedro María Loy Amaya de Lanzarote: para la de la de Guadix, vacante por promoción de D. Andrés de Amaya al Priorato de la misma, á D. Cárlos Marín: para la de la de S. Hipólito de Córdoba, vacante por fallecimiento de D. Luis Lladosa Fernandez, á D. Joaquín Pastor: para la de la d-e</t>
  </si>
  <si>
    <t>de Ampuero, Pedro María</t>
  </si>
  <si>
    <t>Pedro María de Ampuero</t>
  </si>
  <si>
    <t>del dia 24 de Mayo último remitieron los Sres. Llera, hermanos y compañía, del comercio de Cádiz, á D. Pedro María de Ampuero, vecino de Bilbao, quatro vales Reales de á 300 pesos, creación de 1.® de Enero , números 121785,124332 f 1 26817 y 1 28283 : otros dos dé á 150 pésos, de la misma creación , núms</t>
  </si>
  <si>
    <t>de AmpuerQ, Pedro María</t>
  </si>
  <si>
    <t>Pedro María de AmpuerQ</t>
  </si>
  <si>
    <t>Lumbreras, y compañía, en Cádiz á dichos Sres- Llera, hermanos y compañía, y en Bilbao ajL referido D. Pedro María de AmpuerQ.v . • En virtud de facultad Real se vende un título de Castilla , al que está hecha postura en 22© ducados-en vales Reales. Quien quisiere hacer alguna mejora acuda ante el Sr. D.</t>
  </si>
  <si>
    <t>de Anira, Vicente Alonso</t>
  </si>
  <si>
    <t>Vicente Alonso de Anira</t>
  </si>
  <si>
    <t>e Alcalde mayor de la de Purehena i D. Joseph Alonso Villasante: para la de la villa de Medelllft á D. Vicente Alonso de Anira&amp;e: para la de la de Villarejo de Fuentes á D. Joseph de Abreu y del Moral:, para la de la de Yecla á D. Francisco de Verea y Cornejo; y para la die la de Bodonal, que este dexa, á</t>
  </si>
  <si>
    <t>de Antilloh, Isidoro</t>
  </si>
  <si>
    <t>Isidoro de Antilloh</t>
  </si>
  <si>
    <t>las español. Carta esférica de la Escandinavia ó del mar Báltico, Suecia , Noruega y Dinamarca: por D. Isidoro de Antilloh. Esta carta se ha formado con presencia de lo mas apreciable que han trabajado en Ja hidrografía v geometría las naciones del norte de Europa,y de otros originales muy dignos comb</t>
  </si>
  <si>
    <t>de Antillon, Isidoro</t>
  </si>
  <si>
    <t>Isidoro de Antillon</t>
  </si>
  <si>
    <t>° de latitud, con un análisis en que se manifiestan los fundamentos sobre que se ha construido- por D. Isidoro de Antillon, Catedrático.de astronomía, geografía ¿ historia del Real Seminario de Nobles de Madrid. Véndese á</t>
  </si>
  <si>
    <t>de Ara, Juan</t>
  </si>
  <si>
    <t>Juan de Ara</t>
  </si>
  <si>
    <t>Capítan primero D. Vicente Rosíque; á Sargento mayor al Xefe de brigada D. Juan de Ara; á Xefe de brigada al Capitán primero D. Vicente Keyna; á Capitán primero ai Capítan segundo D. Francisco Oyarzabal; á Capitanes segundos á lós Tenientes D. Ignacio López y D. Tom</t>
  </si>
  <si>
    <t>de Aragón, Domingo</t>
  </si>
  <si>
    <t>Domingo de Aragón</t>
  </si>
  <si>
    <t>D. Sebastian de Arroyo , de granaderos, D. Gabriel Tinajero , D. Antonio García, D. Joseph Lacomba, D. Domingo de Aragón , D. Joseph Nuñez, de bandera, y D. Diego Pizarro ; á Subtenientes de granaderos al de fusileros D. Ramón Valldejuli, y al de bandera D. Luis Gineti; á Subtenientes á los de bande</t>
  </si>
  <si>
    <t>de Aramburu, Joseph Xavier</t>
  </si>
  <si>
    <t>Joseph Xavier de Aramburu</t>
  </si>
  <si>
    <t>cha de 14 de Octubre de este año remitió D. Matías de Mendiburu, del comercio de Cádiz, endosados á D. Joseph Xavier de Aramburu, del de S. Sebastian, dos vales Reales de 150 pesos, creación de i.° d.eEnero, números 333296 y 294885; y habiéndose extraviado, se suplica al sugeto que sepa de ellos los entregu</t>
  </si>
  <si>
    <t>de Arana, Francisco</t>
  </si>
  <si>
    <t>Francisco de Arana</t>
  </si>
  <si>
    <t>Joseph Frontaura , y á Ayudantes á los Tenientes destinados á servir en el exército de Puerto-Rico D. Francisco de Arana y D. Manuel Fernandez. Por el Ministerio de Hacienda se ha comunicado con fecha de 14 de &lt; este mes la Real orden siguiente: ,, El Rey se ha servido declarar prohibida la entrada en e</t>
  </si>
  <si>
    <t>de Aranda, Fernando</t>
  </si>
  <si>
    <t>Fernando de Aranda</t>
  </si>
  <si>
    <t>ómico, D. Joseph Martínez de Mazas, Dean de esta santa Iglesia, D. Joseph Gómez, Arcediano de Jaén, D. Fernando de Aranda» Maestrante, y el esmero del mismo Secretario , que ha hecho presentes los ensayos de las expresadas comidas á la Runtford, hechos por una comisión de la Real Sociedad matritense,</t>
  </si>
  <si>
    <t>de Aranguren y Sobrado, Francisco</t>
  </si>
  <si>
    <t>Francisco de Aranguren y Sobrado</t>
  </si>
  <si>
    <t>D. Joseph Joaquín de Loizaga, D. Nicolás Ventura de Eguia, D*. Joseph Agustín Ibañez de Rentería y D. Francisco de Aranguren y Sobrado; y estos encargados en desempeño de sus obligaciones y en conformidad c.ón la voluntad expresa del señorío, aseguran desde ahora y con anticipación que todas las, embarcaciones de</t>
  </si>
  <si>
    <t>de Aranguren, Francisco</t>
  </si>
  <si>
    <t>Francisco de Aranguren</t>
  </si>
  <si>
    <t>sen á dicho magisterio podrán dirigir sus memoriales á D. Domingo Antonio de Luzarraga Portuondo, ó D. Francisco de Aranguren, comisionados y resid entea en la misma Villa , en el término de un mes desée la fecha. En el lugar de Nambroca, á 2 leguas de Toledo , se halla vacante la plaza de Médico; es de</t>
  </si>
  <si>
    <t>de Arbolancha, Lucas</t>
  </si>
  <si>
    <t>Lucas de Arbolancha</t>
  </si>
  <si>
    <t>e ha de vivir en ella. Los pretendientes dirigirán sus memoriales á Don José ph Lucas de Arbolancha,vecino de dicha Anteiglesia, uno de sus comisionados , para ei dia 6 de Enero de 180.4. Historia natural, general y particular, escrita en francés por el Conde de Buffon , Intendente del</t>
  </si>
  <si>
    <t>de Arce y Alemán, Antonio</t>
  </si>
  <si>
    <t>Antonio de Arce y Alemán</t>
  </si>
  <si>
    <t>el Cura párroco y Alcaldes de dicha villa. Habiendo fallecido en la villa de Casarrubios del Monte D. Antonio de Arce y Alemán, vecino y hacendado que fué de ella, baxo cierta disposición testamentaria, previno y mandó entre otras cosas se diesen en esta á Agueda de Torres y Lucía García, madre é hija, 15</t>
  </si>
  <si>
    <t>de Arce, Ramón Joseph</t>
  </si>
  <si>
    <t>Ramón Joseph de Arce</t>
  </si>
  <si>
    <t>ntander, Obispo in partibus de Amizon y Auxiliar de Zaragoza, siendo su Consagrante el JExcino. Sr. D. Ramón Joseph de Arce, Arzobispo de aquella ciudad, Inquisidor general, Consejero de Estado; y Asistentes los limos. Sres. Don Francisco de la Cuerda, del Consejo de la suprema Inquisición, y Don Anton</t>
  </si>
  <si>
    <t>de Arenaza, Ramón</t>
  </si>
  <si>
    <t>Ramón de Arenaza</t>
  </si>
  <si>
    <t>Agustín de Chavarri, del comercio de esta corte , remitió en 12 de Mayo ¿ltimo, con su endoso al de D. Ramón de Arenaza, vecino del concejo de Gal.dames, en las encartaciones de Vizcaya, un vale de á 300 pesos , de i.° de Mayo .»úm. 426885 ; y no habiendo llegado á su destino, se suplica al sugeto</t>
  </si>
  <si>
    <t>de Arguelles, Juan Manuel</t>
  </si>
  <si>
    <t>Juan Manuel de Arguelles</t>
  </si>
  <si>
    <t>de Uzcanga. Disertación histórico-teológica sobre la antigüedad de los párrocos , por el limo. Sr. D. Juan Manuel de Arguelles, Obispo de Palencia: un tomo en 4.0 ¿ 20 rs. en pergamino y 24 en pasta. = Quanto á los jóvenes vale tener canas á su lado : drama histórico-trágico y político , tomado el argumen</t>
  </si>
  <si>
    <t>de Argueso, Francisco</t>
  </si>
  <si>
    <t>Francisco de Argueso</t>
  </si>
  <si>
    <t>residencia: para otro que obtenía en el lugar de Modubar de la Cuesta, en el arzobispado de Burgos, D. Francisco de Argueso, á D. Ramón de Quevedo: para el Préstamo de Matamorosa-vacante en la misma diócesis por muerte de D. Joseph Villalobos, á D. Juan Gómez Robles: para otro de Pesquera de Duero, en</t>
  </si>
  <si>
    <t>de Arjona, Francisco</t>
  </si>
  <si>
    <t>Francisco de Arjona</t>
  </si>
  <si>
    <t>consideraciones y otras que, estimulado de su zelo por el bien público , ha expuesto el Sr. Fiscal D. Francisco de Arjona, han convencido al Consejo de la necesidad de tomar providencias eficaces y activas para el mantenimiento del pobre jornalero en la temporada rigorosa del invierno, y prevenir el</t>
  </si>
  <si>
    <t>de Armas, Christóbal</t>
  </si>
  <si>
    <t>Christóbal de Armas</t>
  </si>
  <si>
    <t>Milicias provinciales de Nueva Or^ leans serha servido el Rey promover á primer Teniente al segundo Don Christóbal de Armas ; á segundo Teniente ai Subteniente de granaderos D. Juan.Renaud; á esta resulta al Subteniente D. Luis Avart; i esta al</t>
  </si>
  <si>
    <t>de Armocha, Joseph Antonio</t>
  </si>
  <si>
    <t>Joseph Antonio de Armocha</t>
  </si>
  <si>
    <t>o Aguirre: para una Capellanía de Coro de la metropolitana de Granada, vacante por fallecimiento de D. Joseph Antonio de Armocha, á D. Francisco Mariano Cañizares, Cura Teniente del Sagrario de aquella catedral: para el JBenchcio de la villa de Molina, en la diócesis de Cartagena., ^vacante por premoción de</t>
  </si>
  <si>
    <t>de Arteaga, Joseph</t>
  </si>
  <si>
    <t>Joseph de Arteaga</t>
  </si>
  <si>
    <t>Vieja, con la Presidencia de la Chancillería de Va— lladolid que ha resultado vacante por salida de D. Joseph de Arteaga. El Rey ha hecho merced á la villa de Almagro, en la provincia de la Mancha, de que pueda titularse Ciudad. . ' Los tenedores de Vales-dinero de la Real Caxa de Consolidación, de</t>
  </si>
  <si>
    <t>de Artola, Manuel</t>
  </si>
  <si>
    <t>Manuel de Artola</t>
  </si>
  <si>
    <t>D. Fernando Romero y Landa. Para el Gobierno del fuerte de S. Luis de Marbella ha nombrado el Rey á D. Manuel de Artola, Capitán segundo del batallon.de voluntarios de infantería ligera de Campo Mayor : para el del castillo de Santa Catalina del puerto dé Sta. María ai Teniente Coronel D. Andrés Cr</t>
  </si>
  <si>
    <t>de Ascargorta y Ramírez, Manuel María</t>
  </si>
  <si>
    <t>Manuel María de Ascargorta y Ramírez</t>
  </si>
  <si>
    <t>oria natural: obra elemental , coordinada y publicada en francés por J. F. Dúbroca, y traducida por D. Manuel María de Ascargorta y Ramírez : tomo 3.0, que contiene la historia de los quadrúpedos , peces y anfibios, y lleva 6 láminas en que se representan 80 figuras. Se vende con el i.° y 2.0 en la librería de Gómez F</t>
  </si>
  <si>
    <t>de Asenjo, Joseph</t>
  </si>
  <si>
    <t>Joseph de Asenjo</t>
  </si>
  <si>
    <t>n María del Seixo: para el Arciprestazgo de Uceda; en la diócesis de Toledo , vacante por muerte de D. Joseph de Asenjo , á D. Felipe Montero : para un Beneficio fundado baxo la invocación de todos los Santos en la catedral de Gerona, vacante por fallecimiento de D. Pedro Mailol, á D. Antonio Serva</t>
  </si>
  <si>
    <t>de Astarloa, Pablo Pedro</t>
  </si>
  <si>
    <t>Pablo Pedro de Astarloa</t>
  </si>
  <si>
    <t>os propuestos en el Diccionario geográfíco-histórico de España, tomo 2.0, palabra Navarra: su autor D. Pablo Pedro de Astarloa , presbítero. En esta apología no solo se justifica hasta la evidencia quanto ofrece su título, sino que se descubren unos conocimientos tan interesantes, que arreglará en lo suce</t>
  </si>
  <si>
    <t>de Aulestia, Joseph</t>
  </si>
  <si>
    <t>Joseph de Aulestia</t>
  </si>
  <si>
    <t>Luis Ibañez de Navarra, D. Francisco García Orozco, Don Juan de Dios Carcelen, D. Rodrigo González, D. Joseph de Aulestia, D. Juan Gómez, D. Rafael Sopranis y D. Diego Bobadilla: á Subtenientes de granaderos en los de Sigiienza, Alcázar y Laredo, á los de fusileros D. Fernando Barbaza, D. Joseph Andr</t>
  </si>
  <si>
    <t>de Austria y la Archiduquesa Beatriz, Fernando (archiduque)</t>
  </si>
  <si>
    <t>Archiduque Fernando de Austria y la Archiduquesa Beatriz</t>
  </si>
  <si>
    <t>e Brisgaw y Ortenau han prestad© ya el juramento de fidelidad y homenage á. sus nuevos Soberanos el Archiduque Fernando de Austria y la Archiduquesa Beatriz su esposa, hija del último Duque de Módena. Como el Archiduque está determinado á fixar su .residencia en Viena , enviará.á Brisgaw al Archiduque.Maximiliano su hir _jo,;émcalidad</t>
  </si>
  <si>
    <t>de Aviles, Ramón</t>
  </si>
  <si>
    <t>Ramón de Aviles</t>
  </si>
  <si>
    <t>gosa; yá Teniente al Alférez D. Pedro Lechuga; y en el de Lugtania, segundo de Húsares, á Coronel á D. Ramón de Aviles , Teniente Coronel del de Cazadores de Sagunto. En América. S. M. se ha dignado conferir el Gobierno militar y político de la isla y presidio del Carmen, en el Reyno de Nueva Espa</t>
  </si>
  <si>
    <t>de Axpe, Miguel</t>
  </si>
  <si>
    <t>Miguel de Axpe</t>
  </si>
  <si>
    <t>und . para esta plaza, y demas que sucesivamente resultan vacantes, i D. Pra°' cisco Galo Carrasco, D. Miguel de Axpe, D. Joseph de Echeverría* D. Leonardo Garrido; y*para la sexta y ultima plaza al supernumerario D. Joseph Marcinez. En el regimiento de infantería de Mallorca se ha servido promov</t>
  </si>
  <si>
    <t>de Ayestaran, Juan Ignacio</t>
  </si>
  <si>
    <t>Juan Ignacio de Ayestaran</t>
  </si>
  <si>
    <t>a Cámara y Real Patronato de Castilla, vacante por fallecimiento del Sr. Marques de Marido , al Sr. D. Juan Ignacio de Ayestaran ; y para la de. Gracia y Justicia y Real Patronato de la Corona de Aragón, que este obtenía, al Sr. D. Pedro Fernando Tavira. Igualmente se ha servido nombrar para el Corregimient</t>
  </si>
  <si>
    <t>de Azconaga Caballero, Pedro</t>
  </si>
  <si>
    <t>Pedro de Azconaga Caballero</t>
  </si>
  <si>
    <t>r. D.Torquato Antonio Collado, Teniente Corregidor de esta villa, y por Ja escribanía del número de D. Pedro de Azconaga Caballero, están mandadas sacar á pública subasta por término de 30 días, contados desde 5 de este mes, dos casas con sus muebles, aperos de labor y caballerías, una huerta pollada de árbol</t>
  </si>
  <si>
    <t>de Aznar, Vicente</t>
  </si>
  <si>
    <t>Vicente de Aznar</t>
  </si>
  <si>
    <t>lanías en los de Valencia, Granada, Murcia y batallones de voluntarios de Campomayor y de Navarra á D. Vicente de Aznar,D. Joseph Jordania , D. Francisco de Cáceres , D. Juan Ximenez Rosillo y B. Joseph López y Sánchez. El Rey se lia servido nombrar Teniente Coronel del regimiento de húsares Volunt</t>
  </si>
  <si>
    <t>de Azpeytia, Joseph</t>
  </si>
  <si>
    <t>Joseph de Azpeytia</t>
  </si>
  <si>
    <t>da Dignidad de Tesorero de la catedral de Segovia^Vacánté pór fallecimiento de D. Ramón Galamino, á D. Joseph de Azpeytia, Canónigo de la misma catedral: para una de las Capellanías que se hallan vacantes en la Real capilla de Señores Reyes nuevos de la ciudad de Toledo á D. Bernardo Alarcon y Torrub</t>
  </si>
  <si>
    <t>de Balmis, Francisco Xavier</t>
  </si>
  <si>
    <t>Francisco Xavier de Balmis</t>
  </si>
  <si>
    <t>ompuesta de facultativos hábiles y adictos á la empresa, dirigida por el Médico honorario de Cámara D. Francisco Xavier de Balmis, y costeada de su Real erario; los quales sin perdonar gastos, ni fatigas lleven suficiente número de niños á quienes inocular sucesivamente en el curso de la navegación ; y conse</t>
  </si>
  <si>
    <t>de Barandiaran, Francisco Antonio</t>
  </si>
  <si>
    <t>Francisco Antonio de Barandiaran</t>
  </si>
  <si>
    <t>72 Don Matías do Mendiburu, del comercio de Cádiz, remitió por el correo de 7.1 del pasado á D. Francisco Antonio de Barandiaran , del de S. Sebastian , 3 vales Reales de 600 pesos de i.° de Setiembre,endosados á favor de este por D. Manuel de la Fuente , señalados con los números 193, 3674 J 8001 ; y habié</t>
  </si>
  <si>
    <t>de Barandiaran, Joseph Domingo</t>
  </si>
  <si>
    <t>Joseph Domingo de Barandiaran</t>
  </si>
  <si>
    <t>ntregarlos en Cádiz al dicho Sr. Mendiburu, en S. Sebastian al expresado Barandiaran, y en Madrid á D. Joseph Domingo de Barandiaran. í Los sotos deGalapagar y Gordo, con pastos, arbolado , casa, caballeril, corrales, tinglados, parte de cerca , derecho de pesca y de nombrar Alcalde mayor y guardas , con las ti</t>
  </si>
  <si>
    <t>n se servirá entregarlos en Cádiz al dicho Inarte , en S. Sebastian al mismo Galardi, y en Madrid á D. Joseph Domingo de Barandiaran. La persona ó personas que tengan derecho al término despoblado Torre-Herrín y diezmos á él pertenecientes, que en concepto de ignorado dueño se ha denunciado como vacante y perte</t>
  </si>
  <si>
    <t>de Bardaxi, Manuel</t>
  </si>
  <si>
    <t>Manuel de Bardaxi</t>
  </si>
  <si>
    <t>er, á D. Pedro Espinosa s para otra de la de Barbastro, vacante por muerte de D. Felipe de Broto, á D. Manuel de Bardaxi: para la Ración de la santa iglesia de Toledo, vacante por promoción de D. Santiago Bencomo á una Canongía de la catedral de Canaria, á D. Mateo Coronado y Anchuelo: para otra de</t>
  </si>
  <si>
    <t>de Barenechea, Cayetano</t>
  </si>
  <si>
    <t>Cayetano de Barenechea</t>
  </si>
  <si>
    <t>iM Ramón Prats, D. Cayetano de Barenechea y D. Esteban Miró. En el Real cuerpo de Artillería se ha dignado S. M. promover á Capitanes primeros á los Capitanes segundos D. Juan Carrera, D. Joseph Michan, D. Gregorio Pardo, D.</t>
  </si>
  <si>
    <t>de Barrientes y Cueva, María</t>
  </si>
  <si>
    <t>María de Barrientes y Cueva</t>
  </si>
  <si>
    <t>1.5 años ha poco mas ó ménos, acuda con instrumento competente por sí ó por apoderado á su hermana Doña María de Barrientes y Cueva, viuda de D. Gregorio Barrientos, vecina de Osuna, quien tiene en su poder 7$ rs. para dicho efecto ; y si dicha Sra. hubiere fallecido quando se presente algún acreedor , dexa di</t>
  </si>
  <si>
    <t>de Becerril, Juan</t>
  </si>
  <si>
    <t>Juan de Becerril</t>
  </si>
  <si>
    <t>ientos de Milicias provinciales ha promovido el Rey á Coronel del de Avila á D; Juan de Becerril, Teniente Coronel reformado' del mismo cuerpo: á Sargento mayor del deTuyá D. Joaquín González de Menchaca, Capitán del regimiento de infantería de Guadalaxara: á igual empleo del de Ciudad</t>
  </si>
  <si>
    <t>de Bieima, Andrés</t>
  </si>
  <si>
    <t>Andrés de Bieima</t>
  </si>
  <si>
    <t>ado á todos los que gustaren verlos y satisfacerse. Todo se verifica por la constante asistencia de D. Andrés de Bieima, Coronel de exárcito , y D. Juan ¿oseph de Aranda, Maestrante, concurriendo también á estas considérales expensas D. Fernando María de Valenzuela Prado, Director de este cuerpo ec</t>
  </si>
  <si>
    <t>de Boclc, Barón</t>
  </si>
  <si>
    <t>Barón de Boclc</t>
  </si>
  <si>
    <t>la carta de que incluyo copia. El día siguiente vino á hablarme de su parte el Barón de Boclc , Coronel del regimiento de las guardias , y me dixo, que la proposición de que su exércit© rindiera las armas para llevarlo prisionero á Francia era tan vergonzosa, que todos preferirían p</t>
  </si>
  <si>
    <t>de Bolívar, Simón</t>
  </si>
  <si>
    <t>Simón de Bolívar</t>
  </si>
  <si>
    <t>D. Joseph Leandro Palacios, D. Joseph Antonio Cazcrla , D. Domingo Gaiindo, D. Rafael Monasterios, D. Simón de Bolívar, D. Miguel Uztariz y D. Agustín Carvallo: á Subteniente de granaderos al de fusileros D. Luis Carvallo; y {\ Subteniente de fusileros á D. J oseph María Paz del Castillo, Teniente</t>
  </si>
  <si>
    <t>de Borges, Joseph</t>
  </si>
  <si>
    <t>Joseph de Borges</t>
  </si>
  <si>
    <t>es de Asturias D. Joseph Alvarez Nava: en él de Málaga á Subteniente de bandera al Sargento primero D. Joseph de Borges: en el de Voluntarios de Castilla á Teniente al Subteniente D. Severo Menaza: en el de Voluntarios de la Corona á Teniente al Subteniente de granaderos D. Manuel Laguna; y en el b</t>
  </si>
  <si>
    <t>de Borja Zurita y Vergara, Francisco</t>
  </si>
  <si>
    <t>Francisco de Borja Zurita y Vergara</t>
  </si>
  <si>
    <t>ral: para esta Canongía al Racionero D. Antonio Román Mesones: para esta resulta al Medio-Racionero D. Francisco de Borja Zurita y Vergara; y para otra Media-Ración de la catedral de Popayan, vacante por renuncia que hizo de ella D. Joseph Matías de la Plaza, í D. Matías Antonio Gómez, Examinador Sinodal del referido</t>
  </si>
  <si>
    <t>de Broto, Felipe</t>
  </si>
  <si>
    <t>Felipe de Broto</t>
  </si>
  <si>
    <t>o de D. Alexandro Ferrer, á D. Pedro Espinosa s para otra de la de Barbastro, vacante por muerte de D. Felipe de Broto, á D. Manuel de Bardaxi: para la Ración de la santa iglesia de Toledo, vacante por promoción de D. Santiago Bencomo á una Canongía de la catedral de Canaria, á D. Mateo Coronado y</t>
  </si>
  <si>
    <t>de Bustamante y Guerra, Francisco</t>
  </si>
  <si>
    <t>Francisco de Bustamante y Guerra</t>
  </si>
  <si>
    <t>.Los comisionados especiales nombrados para este establecimiento, que lo son D. Francisco de Valle, D. Francisco de Bustamante y Guerra y D. Francisco Pastor y Calle, han acordado circular esta noticia para convidar á los literatos; y que en el término de dos meses, puedan presentarse las personas que aspiren á qualqu</t>
  </si>
  <si>
    <t>de Butbler, Barón</t>
  </si>
  <si>
    <t>Barón de Butbler</t>
  </si>
  <si>
    <t>ein-Edembourg, que desea conserve el obispado de Xubeck. Viena 28 de Enero• E 1 Barón de Butbler, Ministro del Duque de Wurtemberg, ha partido antes de ayer de esta ciudad á llevar á S. A. S. la investidura de la dignidad Electoral. El Duque de Wurtemberg tendrá la primacía sobre Básil</t>
  </si>
  <si>
    <t>de Cáceres y Godoy, Vicente</t>
  </si>
  <si>
    <t>Vicente de Cáceres y Godoy</t>
  </si>
  <si>
    <t>id 8 de Abril. E i Rey se ha servido nombrar para el Arcedianato de Coria, vacante por promoción de D. Vicente de Cáceres y Godoy al Arcedianato titular y Canongía unida de la catedral de Salamanca, á D. Juan García Rodríguez Albarran: para la Canongía que obtiene en la misma iglesia de Coria él referido D.</t>
  </si>
  <si>
    <t>de Cáceres, Francisco</t>
  </si>
  <si>
    <t>Francisco de Cáceres</t>
  </si>
  <si>
    <t>a y batallones de voluntarios de Campomayor y de Navarra á D. Vicente de Aznar,D. Joseph Jordania , D. Francisco de Cáceres , D. Juan Ximenez Rosillo y B. Joseph López y Sánchez. El Rey se lia servido nombrar Teniente Coronel del regimiento de húsares Voluntarios al Coronel D.' Miguel Galiano, ^argento</t>
  </si>
  <si>
    <t>de Cáceres, Vicente</t>
  </si>
  <si>
    <t>Vicente de Cáceres</t>
  </si>
  <si>
    <t>an García Rodríguez Albarran: para la Canongía que obtiene en la misma iglesia de Coria él referido D. Vicente de Cáceres, y resultará también vacante, á D. Juan Sánchez Conde, Cura de la parroquial de la villa de Malpartida de Cáceres, en aquella diócesis: para el Arciprestazgo de Silos, en la dióce</t>
  </si>
  <si>
    <t>de Calzada, Domingo</t>
  </si>
  <si>
    <t>Domingo de Calzada</t>
  </si>
  <si>
    <t>s Reales de á 300 pesos, de i.° de Mayo , á dinero por la Real Caxa de Consolidación, endosados por D. Domingo de Calzada á D. Pedro deZubiaga, y señalados con los números 456598, 456825,456840, 456936 , 456983 ,457083 , 4573 23 , 4574fo i 457665 , 457667 , 457668, 457676 , 457688 , 457928&gt; 458122 »</t>
  </si>
  <si>
    <t>de Campo y Oliva, Juan</t>
  </si>
  <si>
    <t>Juan de Campo y Oliva</t>
  </si>
  <si>
    <t>tino; y traducida con adiciones y notas por el R. P. D. Fr. Alberico Echandi, monge Cisterciense, y D. Juan de Campo y Oliva, Licenciado en sagrados Cánones: 8 tomos en 8.° prolongado. Véndense á 104 rs. en rústica y 144 en pasta en el despacho de la imprenta Real. Los subscriptores acudirán á dicho des</t>
  </si>
  <si>
    <t>de Campos y Salcedo, Miguel</t>
  </si>
  <si>
    <t>Miguel de Campos y Salcedo</t>
  </si>
  <si>
    <t>para el Arcedianato de Villena, Dignidad de la catedral de Cartagena, vacante por fallecimiento de D. Miguel de Campos y Salcedo, á D. Mariano García de Zamora: para una Ganongía de la colegial de Alfaro, diócesis de Tarazona, vacante por muerte de D. Pedro Pascasio Martínez de Aldama, á D. Manuel Valdero,</t>
  </si>
  <si>
    <t>de Cárdenas, Pedro</t>
  </si>
  <si>
    <t>Pedro de Cárdenas</t>
  </si>
  <si>
    <t>r en el regimiento de infantería Inmemorial del Rey Compañías á los Capitanes DJ Judas Tadeo Roxo y D. Pedro de Cárdenas , Ayudante y Teniente de granaderos del mismo cuerpo, como también al Ayudante dél: provincial:de Ronda D. Francisco Salbans; y Subtenencia de bandera’ di Sargento primero de gran</t>
  </si>
  <si>
    <t>de Carnerero, Joseph María</t>
  </si>
  <si>
    <t>Joseph María de Carnerero</t>
  </si>
  <si>
    <t>r el correo. ^ ■ Elvina y Perci , ó los efectos de la violencia : tragedia en 3 actos en verso, por D. Joseph María de Carnerero, representada en el coliseo de la calle de la Cruz por las dos compañías reunidas en el mes de Febrero del presente año. Se ha-* Hará en la librería de Gómez Fuentenebro, calle de</t>
  </si>
  <si>
    <t>de Carrion, Joseph</t>
  </si>
  <si>
    <t>Joseph de Carrion</t>
  </si>
  <si>
    <t>apitán, D. Joseph Pascual de Céspedes: en el de Voluntarios de la Corona al Caballero Page de S. M: D. Joseph de Carrion; Tenencia al Subteniente de granaderos D. Miguel Cortes, y Subtenencias al Sárgentó</t>
  </si>
  <si>
    <t>de Carvajal y Ordoñez, Joseph María</t>
  </si>
  <si>
    <t>Joseph María de Carvajal y Ordoñez</t>
  </si>
  <si>
    <t>parte de aritmética: tiene siete meses de servícíId. También solicitó presentarse á público exámen D. Joseph María de Carvajal y Ordoñez, segundo Subteniente del propio cuerpo, de menor edad, y fué preguntado de las obligaciones de ordenanza, aritmética y principios de geometría , contestando á las varias* pregunta</t>
  </si>
  <si>
    <t>de Carvajal, Ramón</t>
  </si>
  <si>
    <t>Ramón de Carvajal</t>
  </si>
  <si>
    <t>° de Enero. E 1 dia 20 de Diciembre de 1802 en la casa morada del Brigadier de los Reales exércitos D. Ramón de Carvajal, Coronel del regimiento de infantería de España, tuviéron exámen público los caballeros Cadetes del propio cuerpo, baxo la dirección de su maestro el Capitán de granaderos D. Migu</t>
  </si>
  <si>
    <t>de Castañeda y Quixano, Juan</t>
  </si>
  <si>
    <t>Juan de Castañeda y Quixano</t>
  </si>
  <si>
    <t>-. nidad de la catedral de Orihuela, vacante por fallecimiento de D. Francisco Ignacio del Moral, á D. Juan de Castañeda y Quixano: para una Canongía que se halla vacante en la propia catedral de Orihuela, por muerte de D. Juan Vicent, á D. Joseph Pujante y García, Cura de la parroquial de S. Miguel de la ciu</t>
  </si>
  <si>
    <t>de Castañeda, Juan</t>
  </si>
  <si>
    <t>Juan de Castañeda</t>
  </si>
  <si>
    <t>eph Sánchez, á D. Pedro de Orbe Earreátegui: para otra de la de Málaga, vacante por la promoción de D. Juan de Castañeda al Arcedianato de Alicante, Dignidad de la de Orihuela, á D. Joseph María Swerts y Ayala: para otra Ración de Ja catedral de Zamora, vacante por fallecimiento de D. Joseph María l</t>
  </si>
  <si>
    <t>de Castellarnau, Joseph Antonio</t>
  </si>
  <si>
    <t>Joseph Antonio de Castellarnau</t>
  </si>
  <si>
    <t>li fue declarado igualmente digno del último premio, que se adjudicó á Pala por su menor edad; pero D. Joseph Antonio de Castellarnau, dio á dicho Bartroli igual premio que á Pala. La numerosa concurrencia contribuyó no poco al lucimiento de este acto nuevo en un pueblo, cuya regeneración se promete del patrioti</t>
  </si>
  <si>
    <t>de Castro Valpuesta, Francisco</t>
  </si>
  <si>
    <t>Francisco de Castro Valpuesta</t>
  </si>
  <si>
    <t>2 02 Lleopart: para la Vara de Alcalde mayor dé Alméndratejo á D. Francisco de Castro Valpuesta; y para la de la ciudad de Santander ¿ Don Joaquín Mayoral. , v { En América. En el regimiento de infantería fixo de Cartagena de In* dias se ha dignado el Rey promover á Capitán</t>
  </si>
  <si>
    <t>de Castro y Villegas, Francisco Ventura</t>
  </si>
  <si>
    <t>Francisco Ventura de Castro y Villegas</t>
  </si>
  <si>
    <t>D. Joseph Ruiz Manjon, á quien S. M. habia nombrado para él, antes de sacar la Real presentación, ¿ D. Francisco Ventura de Castro y Villegas, Canónigo mas antiguo de la misma catedral: para el Arcedianato de Cea, Dignidad de La catedral de JLeon,</t>
  </si>
  <si>
    <t>Díaz Sedeño, a D. Bernardo Antonio Luege Villar: para otra de la de Tuy , vacante por promoción de D. Francisco Ventura de Castro y Villegas al Deanato de la misma, á D. Bernardo Sánchez Cidras: -para una Ración de la santa iglesia de Toledo, vacante por promoción de D. Joseph Blas García Moreno al Ai% ciprestazgo de T</t>
  </si>
  <si>
    <t>de Castro, Benito María</t>
  </si>
  <si>
    <t>Benito María de Castro</t>
  </si>
  <si>
    <t>del de Écija: la Tenencia de granaderos del de Betanzos, al Teniente de fusiletos del mismo cuerpo D. Benito María de Castro: Tenencias en los de Mondoñedo, Ronda y Cuenca á los Subtenientes D. Antonio Losada y Quiroga , D. Diego Serrano y D. Joseph Henriquez, y al Teniente reformado D. Leonardo Antonio</t>
  </si>
  <si>
    <t>de Castro, Francisco</t>
  </si>
  <si>
    <t>Francisco de Castro</t>
  </si>
  <si>
    <t>lamanca ; Compañía al Ayudante, grádííadó de Capitán; D. Gaspar Franco, y Teñenóia al Subte^ niente D. Francisco de Castro: en el de Toledo Compañía áT Ayudante; con grado- de Capitán, D. Joseph Garate, y Súbténericiáj de bandera al -Sargento primero D. Andrés Peréz : en el dé León Capélláhíá ái presb</t>
  </si>
  <si>
    <t>de Cerdan Pontero, Ambrosio</t>
  </si>
  <si>
    <t>Ambrosio de Cerdan Pontero</t>
  </si>
  <si>
    <t>alía del mismo Tribunal por lo perteneciente al Perú, vacante por jubilación de D. Joseph Cistúe, á D. Ambrosio de Cerdan Pontero, Regente de la Real Audiencia de Goatemala. En atención á los servicios del Intendente de Truxillo, en el Perút 1&gt;. Vicente Gil, se ha servido el Rey concederle honores de Intende</t>
  </si>
  <si>
    <t>eal Audiencia de Cuba; y para la Regencia de la Real’Audiencia de Goatemala, vacante por ascenso de D. Ambrosio de Cerdan Pontero á plaza de Fiscal del Consejo y Cámara de Indias por lo perteneciente al Perú, á D. Manuel-del Castillo y Negrete, Alcalde, del Crimen de la Real Audiencia de México.. Con fecha d</t>
  </si>
  <si>
    <t>de Céspedes, Joseph</t>
  </si>
  <si>
    <t>Joseph de Céspedes</t>
  </si>
  <si>
    <t>s D. Fran*cisco López de Vergara y D. Tomas Alburquerque, y á Subtenientes de bandera á los Cadetes D. Joseph de Céspedes y D. Juan de Dios de Velazquez. ; ....»• -'i-' • Por ei Ministerio de Hacienda se ha comunicado con fecha de- 2 de Marzo la Real órderf fciguiéhté. f&gt;:í Con ocasión de lo representado</t>
  </si>
  <si>
    <t>de Cevallos Escalera, Joseph</t>
  </si>
  <si>
    <t>Joseph de Cevallos Escalera</t>
  </si>
  <si>
    <t>el término de 20 dias, contados desde el 4 de este mes. Hace 18 meses que se ignora el paradero de D. Joseph de Cevallos Escalera, Teniente del regimiento provincial de la ciudad de Giudad-J^ocjrigo &gt; natural del lugar de. Villasibil de Toranzo , -en; .el valle deX^rríedqxchispado:, de Santander, casado con</t>
  </si>
  <si>
    <t>de Chavarri, Agustín</t>
  </si>
  <si>
    <t>Agustín de Chavarri</t>
  </si>
  <si>
    <t>das , y con un testimonió igual al anterior presentarán una muestra ai Secreta^ rio de la Sociedad. Don Agustín de Chavarri, del comercio de esta corte , remitió en 12 de Mayo ¿ltimo, con su endoso al de D. Ramón de Arenaza, vecino del concejo de Gal.dames, en las encartaciones de Vizcaya, un vale de á</t>
  </si>
  <si>
    <t>de Cía, Ramón</t>
  </si>
  <si>
    <t>Ramón de Cía</t>
  </si>
  <si>
    <t>el Galiano, ^argento mayor del de cazadores de Sagunto. En atención al mérito y buenos servicios de D. Ramón de Cía, Administrador general de la renta de salitres de Aragón t se ha servido el</t>
  </si>
  <si>
    <t>de Ciscar, Gabriel</t>
  </si>
  <si>
    <t>Gabriel de Ciscar</t>
  </si>
  <si>
    <t>ndice en que se explica un método gráfico para corregir las distancias de la luna á otro astro, por D. Gabriel de Ciscar, Capitán de Navio de la Real Armada: un tomo a la rústica........................................................................ 12, 10. Reli exíones sobre las máquinas y maniobr</t>
  </si>
  <si>
    <t>de Ciscár, Gabriel</t>
  </si>
  <si>
    <t>Gabriel de Ciscár</t>
  </si>
  <si>
    <t>a determinar las longitudes en la mar, y para resolver otros problemas déla astronomía náutica, por D. Gabriel de Ciscár: un tomo en 4? á la rustica, y 7 estampas 6 quartieres encartonados.................................. 56. 47. Idem sin encartonar los quartieres......................... .........</t>
  </si>
  <si>
    <t>eterminar las longitudes en,.la mar, y para resolver otros problemas de la Astronomía náutica , por D. Gabriel de Ciscár, Capitán de navio de la Real armada. Se hallará en la imprenta Real y en la librería de Aguilera, calle de Relatores ; y en las Academias de Guardias-Marinas de Cádiz, Ferrol y Ca</t>
  </si>
  <si>
    <t>as j y' en las de Tarragona. Curso de estudidselemejntales de marina, escrito de órden de S. M. por Don Gabriel de Ciscar , Capitán de Navio de la Real Armada: tomo 3.0 que contiene el tratado.de Cosmografía, y las nociones de Trigonometría esférica convenientes para el estudio del pilotage. Véndese</t>
  </si>
  <si>
    <t>de Córdoba, Joseph</t>
  </si>
  <si>
    <t>Joseph de Córdoba</t>
  </si>
  <si>
    <t>Ignacio Loysel; á Subtenientes, de compañía á Los de bandera D. Pedro Mor^ll, p. Gabriel Me noca!, D. Joseph de Córdoba y D. Manuel González, y á.Subtenientes de bandera á los Cadetes D. Gabriel OrRian , D. Joaquín. Elosua y D. Francisco Valera , y al .Sargento primero de granaderos D. Martin O.deriz.</t>
  </si>
  <si>
    <t>de Córdoba, Santiago</t>
  </si>
  <si>
    <t>Santiago de Córdoba</t>
  </si>
  <si>
    <t>; ¿Capitaneé granaderos al de fusileros D. Bernardo Zeno; á Capitanes á los Teniente} de granaderos D. Santiago de Córdoba y D. Diego Urrutia; á Teniente} de granaderos á los Tenientes D. Joseph Quiñones y D. Tomas Delgado} á Tenientes á los Subtenientes de granaderos D. Eugenio Tarrio, D. Ra-t fael Garcí</t>
  </si>
  <si>
    <t>de Corts, Francisco</t>
  </si>
  <si>
    <t>Francisco de Corts</t>
  </si>
  <si>
    <t>Labastida, D. Joseph Imaz, D. Antonio Moya, D. Antonio Luxan, D. Luis Bertrán, D. Nicolás Darcourt, D. Francisco de Corts, D. Cárlos Fitzgerald, D. Juan Brikdale, D. Juan O-Donovan, D. Juan Ponce de León , D. Antonio Lechuga y D. Joseph O-Donell: las de los de 1a Reyna, Corona, Guadalaxara, España, L</t>
  </si>
  <si>
    <t>de Covárrubias, Pedro Gabriel</t>
  </si>
  <si>
    <t>Pedro Gabriel de Covárrubias</t>
  </si>
  <si>
    <t>. Justicia y Regimiento de dicha ciudad por;la esfríbanía" de Ayuntamiento de la misma deí cargo de D. Pedro Gabriel de Covárrubias , su Secretario; previniéndose que dicha plaza ha de proveerse el 17 de Diciembre próximo, por cuya razón no se admitirá memorial alguno espirado* que.sean dichos 40 .dias. Diccio</t>
  </si>
  <si>
    <t>de Cozar, Francisco</t>
  </si>
  <si>
    <t>Francisco de Cozar</t>
  </si>
  <si>
    <t>o de la Concepción de Almuradiel, una de las poblaciones de Sierra-morena, se está beneficiando por D. Francisco de Cozar una mina de antimonio, con la aprobación de la Real Junta de Comercio , Moneda y Minas, produciendo aquel metal por medio de las fundiciones en tres distintas clases, á saber, ant</t>
  </si>
  <si>
    <t>de Crayvinquel y Zuleta, Miguel</t>
  </si>
  <si>
    <t>Miguel de Crayvinquel y Zuleta</t>
  </si>
  <si>
    <t>nuel Francisco Gutiérrez y Varona: para la de la metropolitana de Granada, vacante por promoción de D. Miguel de Crayvinquel y Zuleta al Deanato de la misma, á D. Antonio Cervino y Trevijano: para la Ración que este obtiene en ella á D. Francisco Enciso: para la de la catedral de Guadix, vacante por muerte de D.</t>
  </si>
  <si>
    <t>de Cuenca, Diego</t>
  </si>
  <si>
    <t>Diego de Cuenca</t>
  </si>
  <si>
    <t>El mismo de escultura á D. Antonio Criado.__ El tercero de pintura, de una medalla de ocho onzas, á Don Diego de Cuenca; y por haber trabajado con igual mérito én su objeto D.Félix del Castillo, fué gratificado con otras ocho onzas de plata. ——El mismo de arquitectura á D. Joseph Pastor, y otro igu</t>
  </si>
  <si>
    <t>de Drquijo, Pedro Pablo</t>
  </si>
  <si>
    <t>Pedro Pablo de Drquijo</t>
  </si>
  <si>
    <t>S. M. se ha servido conferir el Gobierno militar y político de la provincia de Moxos á D. Pedro Pablo de Drquijo, .Capitán de Fragata de la Real armada. El dia 8 de Mayo últimp fue consagrado el limo. Sr. D. Pedro Antonio Juano, del Consejo de S. M., Obispo de Menorca, en la iglesia del Real</t>
  </si>
  <si>
    <t>de Echeverría, Joseph</t>
  </si>
  <si>
    <t>Joseph de Echeverría</t>
  </si>
  <si>
    <t>za, y demas que sucesivamente resultan vacantes, i D. Pra°' cisco Galo Carrasco, D. Miguel de Axpe, D. Joseph de Echeverría* D. Leonardo Garrido; y*para la sexta y ultima plaza al supernumerario D. Joseph Marcinez. En el regimiento de infantería de Mallorca se ha servido promover S. M. á Capitán al Ayu</t>
  </si>
  <si>
    <t>de Egiiia, Joaquín Máría</t>
  </si>
  <si>
    <t>Joaquín Máría de Egiiia</t>
  </si>
  <si>
    <t>nte. El dia 27 de Julio ultimo murió en la ciudad de Vitoria á los 70 años cumplidos de edad el Sr, D. Joaquín Máría de Egiiia, Marques de Narros , Gentilhombre de Cámara de S. M. Con exdrcicio, tercer Director de la Real Sociedad Vascongada , y uno de susduñdadorsf. Su amor a las ciencias y artes ñtiles</t>
  </si>
  <si>
    <t>de Eguia, Nicolás Ventura</t>
  </si>
  <si>
    <t>Nicolás Ventura de Eguia</t>
  </si>
  <si>
    <t>uerto, ha nombrado por sus comisionados absolutos para este encargo á D. Joseph Joaquín de Loizaga, D. Nicolás Ventura de Eguia, D*. Joseph Agustín Ibañez de Rentería y D. Francisco de Aranguren y Sobrado; y estos encargados en desempeño de sus obligaciones y en conformidad c.ón la voluntad expresa del señ</t>
  </si>
  <si>
    <t>de Eigueroa, Luis</t>
  </si>
  <si>
    <t>Luis de Eigueroa</t>
  </si>
  <si>
    <t>infantería de Sabóya, Extremadura y Ordenes Militares, á los Cadetes del de Reales Guardias Walonas D. Luis de Eigueroa, D. Mateo Ponce de León y D. Fernando Romero y Landa. Para el Gobierno del fuerte de S. Luis de Marbella ha nombrado el Rey á D. Manuel de Artola, Capitán segundo del batallon.de</t>
  </si>
  <si>
    <t>de Einñedel, Conde</t>
  </si>
  <si>
    <t>Conde de Einñedel</t>
  </si>
  <si>
    <t>llamado á su Ministro en Londres, el Conde de Bruhl, y será reemplazado por el Conde de Einñedel, hijo del Ministro de Estado del mismo nombre___ El Príncipe heredero de Nassau-Orange■*, se halla de vuelta en su nueva residencia (Fulda), y se espera á su esposa á finés de Mayo'.__</t>
  </si>
  <si>
    <t>de Elola y López, Joseph</t>
  </si>
  <si>
    <t>Joseph de Elola y López</t>
  </si>
  <si>
    <t>cuerpo. J $. M. se ha servido nombrar para uña plaza de Ministro de la Real Audiencia de Mallorca á D. Joseph de Elola y López. En atención al mérito, circunstancias y distinguidos servicios deDoi Carlos Martínez de Irujo , Ministro «plenipotenciario y Enviado extraordinario cerca de los Estados-Unidos de</t>
  </si>
  <si>
    <t>de Emparan, Juan Bautista</t>
  </si>
  <si>
    <t>Juan Bautista de Emparan</t>
  </si>
  <si>
    <t>lla de Utiel, en la diócesis de Cuetica, vacante por Fallecimiento de D. Antonio Ramos y Redondo, á D. Juan Bautista de Emparan; y para ia Capellanía de Coro de la santa iglesia de Toledo, vacante por promoción de D. Fermín Quadros á una Ración de la misma iglesia, á D. Cándido Peces. . El Rey se ha servid</t>
  </si>
  <si>
    <t>de Eournas, Blas</t>
  </si>
  <si>
    <t>Blas de Eournas</t>
  </si>
  <si>
    <t>, D. Domingo Pirez, y Ayudantía y Subte-* nencias en el de Borbon al Teniente, graduado de Capitán, D. Blas de Eournas, ai Sargento primero D. Bernardo Juan y al Cadete D. Angel Ffoguer. £1 Rey se ha servido promover á Ayudante del regimiento de cazado* res de Pavía á D. Miguel Ruiz, Teniente del</t>
  </si>
  <si>
    <t>de Ercilla y Zíiñiga, Alonso</t>
  </si>
  <si>
    <t>Alonso de Ercilla y Zíiñiga</t>
  </si>
  <si>
    <t>ndose que se ha de proveer esta pía* za dentro de dos meaes siguientes á esta fecha. La Araucana de D. Alonso de Ercilla y Zíiñiga *. nueva edición en 12.0 proJongado, de buen papel y carácter de letra. El mérito de este poema es tan conocido entre los inteligentes, que no necesita se diga nada en su elogio.</t>
  </si>
  <si>
    <t>de Escartin, Francisco Antonio</t>
  </si>
  <si>
    <t>Francisco Antonio de Escartin</t>
  </si>
  <si>
    <t>de Jas Instrucciones generales en forma de catecismo del P. Francisco Amado Pouge't: traducidas por D. Francisco Antonio de Escartin: un tomo en 8;° en pasta: su precio 12 rs. = Discurso sobre la historia de Ja Iglesia, formado sobre el que compuso el Sr. Abad Fleuri para que sirviese de preliminar á su Histori</t>
  </si>
  <si>
    <t>de Escovedo y Torres, Juan</t>
  </si>
  <si>
    <t>Juan de Escovedo y Torres</t>
  </si>
  <si>
    <t>y D. Juan Pedro Satler. S. M. ha conferido el empleo de Coronel del regimiento provincial de Jaén á D. Juan de Escovedo y Torres, primer Teniente del de infantería de Reales Guardias Españolas. El dia 20 de Febrero se consagró en la iglesia de Padres Capuchinos del Prado de esta corte el limo. Sr. D. Fr. Mi</t>
  </si>
  <si>
    <t>de Esterripa, Nicolás Vicente</t>
  </si>
  <si>
    <t>Nicolás Vicente de Esterripa</t>
  </si>
  <si>
    <t>rio Melón: para el Arciprestazgo de la Guardia, en la diócesis de Calahorra, vacante por ascenso de D. Nicolás Vicente de Esterripa al Beneficio del Prado de. Ciudad Real, á D. Joseph González de la Portilla; para el áb Rioseco, en el obispado de Palencia., vacante por muerte de D. Miguel. Santiago, .á D. Toma</t>
  </si>
  <si>
    <t>de Estrada y Bustamante, Antonio</t>
  </si>
  <si>
    <t>Antonio de Estrada y Bustamante</t>
  </si>
  <si>
    <t>ibrería de Ranz, calle de la Cruz. 1 Desengaño de los vicios y arrepentimiento del hombre: su autor D, Antonio de Estrada y Bustamante: segunda impresipn : un tomo en 8,°: su precio 6 rs. en pasta. Instrucción sobre la obligación de rezar el Oficio divino así eclesiásticos como religiosos y religiosas : su autor</t>
  </si>
  <si>
    <t>de Estrada, Manuel</t>
  </si>
  <si>
    <t>Manuel de Estrada</t>
  </si>
  <si>
    <t>Manuel de León Santos de S. Pedro; y para la de Juez mayor de Vizcaya., que este &lt; Reñía en ella, á D. Manuel de Estrada. Igualmente ha nombrado S. M. para el Corregimiento de letras de las Mevindades de Castilla la Vieja A t&gt;; Joseph Arron y Vidal: para el de la de Medina.del Campo á D..Francisco X</t>
  </si>
  <si>
    <t>de Eyben, Barón</t>
  </si>
  <si>
    <t>Barón de Eyben</t>
  </si>
  <si>
    <t>la ciudad de Ilamburgo tomó posesión del Cabildo situado en nuestra ciudad, el Barón de Eyben, Ministro plenipo</t>
  </si>
  <si>
    <t>de Fahnenberg, Barón</t>
  </si>
  <si>
    <t>Barón de Fahnenberg</t>
  </si>
  <si>
    <t>eta general del Imperio sus juntas, __ El mismo dia dirigió á la dictadura , el Barón de Fahnenberg, Ministro Electoral de Bohemia, una representación con fecha del dia anterior. S. E. pide, en nombre del Príncipe reynante dé Salm-Salm (que le ha encargado su voto en la Dieta), que ademas</t>
  </si>
  <si>
    <t>de Figueroa, Ana María</t>
  </si>
  <si>
    <t>Ana María de Figueroa</t>
  </si>
  <si>
    <t>TX Vicente Martínez de Terroba. Se cita, llama y emplaza á los parientes'dentro del quarto gradó de Doña Ana María de Figueroa , quien fundó una capellanía en el Real convento de Religiosas Carmelitas de Ntra. Sra. de las Maravillas de esta corte, para que en el término de 30 días , contados desde esta fe</t>
  </si>
  <si>
    <t>de Fscovar, Tomás</t>
  </si>
  <si>
    <t>Tomás de Fscovar</t>
  </si>
  <si>
    <t>Beneficio Préstamo del lugar de Arroyo de Cuellar, en la diócesis de Segovia, vacante por muerte de D. Tomas de Fscovar, a</t>
  </si>
  <si>
    <t>de Fslaba, Francisco Rafael</t>
  </si>
  <si>
    <t>Francisco Rafael de Fslaba</t>
  </si>
  <si>
    <t>na Media-Ración de la catedral de Málaga, vacante por fallecimiento de D. Joseph Carrillo y Luna, á D. Francisco Rafael de Fslaba: para el Beneficio Préstamo del lugar de Arroyo de Cuellar, en la diócesis de Segovia, vacante por muerte de D. Tomas de Fscovar, a</t>
  </si>
  <si>
    <t>de Fuentes y Toro, Joseph</t>
  </si>
  <si>
    <t>Joseph de Fuentes y Toro</t>
  </si>
  <si>
    <t>tra Ración de Ja catedral de Zamora, vacante por fallecimiento de D. Joseph María leal de Ibarra, á D. Joseph de Fuentes y Toro: para el Beneficio Préstamo de la parroquia de Arrancacepas y para el de la de Villalvilla, ambos en la diócesis de Cuenca, vacantes por muerte de D. Felipe Ortiz de ^alazar, á D.</t>
  </si>
  <si>
    <t>de Gáceres y Godoy, Vicente</t>
  </si>
  <si>
    <t>Vicente de Gáceres y Godoy</t>
  </si>
  <si>
    <t>nca, y una Canongía de la misma catedral, vacante por fallecimiento de D. Antonio Badajoz y Amor, á D. Vicente de Gáceres y Godoy: para el Arciprestazgo de Poblaciones, en el obispado de Falencia, vacante por muerte de D. Ventura Gómez de Cosío, á D. Andrés Alonso de San Pedro:.para la.Dignidad de Enfermero</t>
  </si>
  <si>
    <t>de Gainza, Miguel Joseph</t>
  </si>
  <si>
    <t>Miguel Joseph de Gainza</t>
  </si>
  <si>
    <t>irán á este sin dilación. ■ Don Pedro de Iriarte , de Cádiz, remitió por el correo en 29 de Abril á Don Miguel Joseph de Gainza, de Pamplona, tres vales Reales, uno de óoo pesos, de Enero, núm. 3Ó4037, otro de 300 pesos , de Setiembre, núm. 29943 , y otro de 150, también de Setiembre, núm. 163963^ no habié</t>
  </si>
  <si>
    <t>de Galardi, Domingo</t>
  </si>
  <si>
    <t>Domingo de Galardi</t>
  </si>
  <si>
    <t>rs. Don Francisco de Triarte, del comercio de Cádiz, remitió con fecha de 4 de Enero de este año á D. Domingo de Galardi, de S. Seoastian, endosados a su favor, tres vales de 600 pesos de i.° de Mayo, núms.-4373 2*1.4173-22 , 417323,.y otros tres de 150 de i«° de Setiembre, niims. *65768,,. 165971 y</t>
  </si>
  <si>
    <t>de Gallarreta, Joaquín</t>
  </si>
  <si>
    <t>Joaquín de Gallarreta</t>
  </si>
  <si>
    <t>. en metálico : la persona que quisiere hacer mejora lo verificará en término de i 2 dias precisos. Don Joaquín de Gallarreta, de Madrid, remitió con su endoso al de D. Clemente Rodríguez, de Zamora, por el correo del dia 23 de Marzo 5 vales Reales de á 300 pesos de i.° de Enero, números 88814,84298, 110</t>
  </si>
  <si>
    <t>de Gamíz, Joseph</t>
  </si>
  <si>
    <t>Joseph de Gamíz</t>
  </si>
  <si>
    <t>a. S. M. se ha servido conferir el empleo de Coronel del regimiento de infantería de Nueva España á D. Joseph de Gamíz, Teniente Coronel del mismo cuerpo. Por el Ministerio de Hacienda se ha comunicado con fecha de 18 de Noviembre la Real orden siguiente: ,,E1 Rey se ha servido resolver, que quand</t>
  </si>
  <si>
    <t>de Gimbcrnat, Antonio</t>
  </si>
  <si>
    <t>Antonio de Gimbcrnat</t>
  </si>
  <si>
    <t>idea para evitar en heridas grandes y profundas la penosa y arriesgada práctica de dar puntos : por D. Antonio de Gimbcrnat, del Consejo de S. M., su primer Cirujano de cámara y Presidente de la Real junta superior gubernativa de cirugía. Véndese en la librería de la viuda de Ibarra, calle de la Gorgue</t>
  </si>
  <si>
    <t>de Gimbernat, Antonio</t>
  </si>
  <si>
    <t>Antonio de Gimbernat</t>
  </si>
  <si>
    <t>Vallet, fundándose en lo prevenido por la ordenanza de los Reales Colegios de Cirugía , y de lo que D. Antonio de Gimbernat produce contra la misma solicitud, exponiendo los graves: inconvenientes qUe resultarán si lós Cirujanos obtienen permiso para recibirse de/Médicos. Enterado S. M. de todo, y conf</t>
  </si>
  <si>
    <t>de Gimbernat, Carlos</t>
  </si>
  <si>
    <t>Carlos de Gimbernat</t>
  </si>
  <si>
    <t>edicina, y preferencia de los remedios vegetales sobre los del reyno, mineral; las instrucciones de D. Carlos de Gimbernat para el arreglo de los jardines botánicos, haciéndolos útiles á un mismo tiempo á la historia natural, medicina y agricultura, y el nueyo método del ciud.. Mentón Fontenille para</t>
  </si>
  <si>
    <t>de Gomara, Conde</t>
  </si>
  <si>
    <t>Conde de Gomara</t>
  </si>
  <si>
    <t>principal nobleza fueron convidados después á casa del Sr. Marques ae Grañina, Conde de Gomara, Teniente de S. A. R. el Sermo. Príncipe de Asturias nuestro Señor, donde se les sirvió un abundante y'exquisito refresco, siguiéndose bayle y espléndido ambigú, durando todo hasta la madru</t>
  </si>
  <si>
    <t>de Goya, Manuel</t>
  </si>
  <si>
    <t>Manuel de Goya</t>
  </si>
  <si>
    <t>l Sargento primero D. Joseph Pedrera; y en el de Toledo Ayudantía al Teniente, graduado de Capitán, D. Manuel de Goya. También se ha servido S. M. promover en el regimiento de infantería de Saboya á Subteniente de bandera al Sargento primero de granaderos D. Manuel Moreno, y á Teniente en^l de Es</t>
  </si>
  <si>
    <t>de Goyri, Félix Antonio</t>
  </si>
  <si>
    <t>Félix Antonio de Goyri</t>
  </si>
  <si>
    <t>erse Tél* íMJÍÍ ^ .i:’ ' í I*” i *■ . 1 T' ’.'.í í*or el córrreo del día &lt; iy del corriente remitió D. Félix Antonio de Goyri, del-comercio de ésta-córte, ID. Ignacio de Hereño* y Burgoa, de Bilbao , Jos vales Reales siguientes; quatro de a 600 pesos ¿ creación de i.° de Enero, números S^5&gt;2°5 &gt; 3^,103 \</t>
  </si>
  <si>
    <t>de Grandallana, Domingo</t>
  </si>
  <si>
    <t>Domingo de Grandallana</t>
  </si>
  <si>
    <t>ndientes á su cumplimiento. = Señalado de la Real mano de S. M. En Aranjuez á 8 de Enéro de 1803.=A Don Domingo de Grandallana.” En ios '“regimientos de infantería de línea se ha servido el Rey conferir las Tenencias .Coronelas siguientes : la del de Saboya al Comandante, del. tercér batallón del de Borho</t>
  </si>
  <si>
    <t>de Guinea, Manuel Agustín</t>
  </si>
  <si>
    <t>Manuel Agustín de Guinea</t>
  </si>
  <si>
    <t>olitana de Santa Fe, vacante por ascenso de D. Juan Nepojmiceno Cabrera á una Ración de la misma, á D. Manuel Agustín de Guinea, Cura párroco de S. Victorino de la propia ciudad. S. M. se ha dignado conceder el empleo de Comandante del batallón fixo de infantería de Panamá al Coronel D. Joseph Alvarez, Sar</t>
  </si>
  <si>
    <t>de Hara, Juan</t>
  </si>
  <si>
    <t>Juan de Hara</t>
  </si>
  <si>
    <t>de Artillería D. Manuel.Clairac, D. Joseph Juncar y D. Martin García y Loigorri; ai Xefe de brigada D. Juan de Hara y al Capitán primero D. Joaquín Navarro: á los de Ingenieros D. Juan Casanova y D. Antonio Jacot; y á ios Sargentos mayores de brigada D. Antonio Benavides y D. Mariano Fernandez de</t>
  </si>
  <si>
    <t>de Hauregard, Francisco</t>
  </si>
  <si>
    <t>Francisco de Hauregard</t>
  </si>
  <si>
    <t>Walonas se ha servido promover el Rey á primer Ayudante mayor al primer Teniente y segundo Ayudante D. Francisco de Hauregard; á segundo Ayudante mayor al primer Teniente D, Paulino D’Aígremonr, y á Alféreces á los Cadetes D* Joseph</t>
  </si>
  <si>
    <t>de He, Domingo</t>
  </si>
  <si>
    <t>Domingo de He</t>
  </si>
  <si>
    <t>regarlos en Alcalá de Henáres á D. Domingo de Calzada, en Madrid á D. Pedro de Zubiaga , en Cádiz á D. Domingo de He ras , en Barcelona á D. Joseph Castañer, y en Santander á D. Matías de Heras Soto. Quien quisiere comprar una casa en la cálle de la Flora de esta villa, núm. 7, que da vuelta á l</t>
  </si>
  <si>
    <t>de Hebia, Tomás</t>
  </si>
  <si>
    <t>Tomás de Hebia</t>
  </si>
  <si>
    <t>del de Ultonia al del de Extremadura D. Bernardo de Velasco: la del de Aragón al del propio cuerpo D. Tomas de Hebia: la del de América al del mismo cuerpo, graduado de Coronel, D. Juan de Dios Alvarez Ordoño: la del de la Princesa al del propio cuerpo D. Pedro Miranda: la del de Málaga al de Gr</t>
  </si>
  <si>
    <t>de Heras Soto, Matías</t>
  </si>
  <si>
    <t>Matías de Heras Soto</t>
  </si>
  <si>
    <t>de Zubiaga , en Cádiz á D. Domingo de He ras , en Barcelona á D. Joseph Castañer, y en Santander á D. Matías de Heras Soto. Quien quisiere comprar una casa en la cálle de la Flora de esta villa, núm. 7, que da vuelta á la calle sin salida, y tiene de sitio 2 s9¡ pies, tasuda en 150,981 rs., ocurra ant</t>
  </si>
  <si>
    <t>de Hercilla y Zúñiga, Alonso</t>
  </si>
  <si>
    <t>Alonso de Hercilla y Zúñiga</t>
  </si>
  <si>
    <t>rnandez, frente á S. Felipe el Real, y de Calleja, calle de Majaderitos. Tomo 2.0 de la Araucana de D. Alonso de Hercilla y Zúñiga,en 12.0 prolongado. Se hallará suelto á 11 rs. en pasta y 9 en rústica, y cada juego á 22 r*s. en pasta y 18 en rústica, en las librerías de Orea, frente á S.Luis ,y de Gómez Fuen</t>
  </si>
  <si>
    <t>de Herrera, Joseph</t>
  </si>
  <si>
    <t>Joseph de Herrera</t>
  </si>
  <si>
    <t>a, vacante por fallecimiento de D. Cándido María Trigueros, y por no haber acudido á tomar posesión D. Joseph de Herrera, á quien S. M. nombró para él en decreto de ió d.e Octubre de 1798, á D. Antonio Civit y Nadal: para otro simple servidero de la villa del Mirón, en la diócesis de Avila, vacante</t>
  </si>
  <si>
    <t>de Hita, Manuel</t>
  </si>
  <si>
    <t>Manuel de Hita</t>
  </si>
  <si>
    <t>leo á D. Juan Zapatero, D. Ramón de la Rocha y D. Juan Pi-¡ rez, Capitanes primeros; a esta clase á D. Manuel de Hita, D. Luis Ve-, yan y D. Luis Laviña, Capitanes segundos; y á esta á los Tenientes Don Luis Valanzat y D. Juan Palomino. En América. Iil Rey se ha servido nombrar para una Ración de</t>
  </si>
  <si>
    <t>de Hoces y Gutiérrez, Antonio</t>
  </si>
  <si>
    <t>Antonio de Hoces y Gutiérrez</t>
  </si>
  <si>
    <t>; se ha dignado el Rey premiar su aplicación promoviendo-á Subtenientes del expresado Real cuerpo á D. Antonio de Hoces y Gutiérrez, D. Joseph Ventades y Martínez, D. Joseph Tabemet y Pavía, D. Antonio Isasi y Betevin, D. Antonio Casano y Dátoli, D. Mateo Chardenaux y Rodríguez, D. Pablo Argaiz y Aranguren, D.</t>
  </si>
  <si>
    <t>de Hoces, Rafael</t>
  </si>
  <si>
    <t>Rafael de Hoces</t>
  </si>
  <si>
    <t>fe de brigada D. Joseph Quixano: á Xefe de brigada al Capitán primero, graduado deTeniente Coronel, D. Rafael de Hoces: á Capitán primero al Capitán segundo D. Francisco Sanchiz; y á Capitán segundo al Teniente D. Joaquín Vereterra. En atención á los méritos y servicios de D. Joseph del Rivero Cev</t>
  </si>
  <si>
    <t>de Horcasitas la Capitanía, Francisco</t>
  </si>
  <si>
    <t>Francisco de Horcasitas la Capitanía</t>
  </si>
  <si>
    <t>alda. Madrid 24 de Mayo. E 1 Rey se ha dignado conferir al Teniente General de sus Reales exércitos D. Francisco de Horcasitas la Capitanía general de exército y provincia de Castilla la Vieja, con la Presidencia de la Chancillería de Va— lladolid que ha resultado vacante por salida de D. Joseph de Arteaga. El Rey ha</t>
  </si>
  <si>
    <t>de Huertas, Rafael</t>
  </si>
  <si>
    <t>Rafael de Huertas</t>
  </si>
  <si>
    <t>onferir Tenencias veteranas en el regimiento de Milicias disciplinadas de infantería de la Havana á D. Rafael de Huertas y D. Blas de Ariza, Sargentos primeros veteranos del mismo cuerpo, el segundo de granaderos. Asimismo ha conferido S. M. la Compañía fixa de dragones del presidio del Carmen, en Nueva</t>
  </si>
  <si>
    <t>de Huizi, Martín Antonio</t>
  </si>
  <si>
    <t>Martín Antonio de Huizi</t>
  </si>
  <si>
    <t>ara sí, sus hijos y sucesores, con la denominación de Marques de Casa-Irujo. El Rey fea concedido á D. Martin Antonio de Huizi, Director de h compañía de Filipinas , los honores de Ministro de la Junta general dé Comercio, Moneda y Minas. En America. S. M. se ha servido nombrar para Obispo Auxiliar de 1»</t>
  </si>
  <si>
    <t>de Ibarra, Miguel</t>
  </si>
  <si>
    <t>Miguel de Ibarra</t>
  </si>
  <si>
    <t>llamada de los Coronas de la parroquia de S. Miguel de la ciudad de Coi ella, vacante por muerte de D. Miguel de Ibarra, áDon Matías González. Ha concedido S. M. grado de Capitán de caballería al Teniente Don Andrés Yoly, Gobernador del castillo de las Medas. En América. El Rey se ha servido nombra</t>
  </si>
  <si>
    <t>de Ibarrola, Pedro Joseph</t>
  </si>
  <si>
    <t>Pedro Joseph de Ibarrola</t>
  </si>
  <si>
    <t>rancos de porte, antes del dia 10 del próximo Junio, á D. León Florentin del Rio, Cura párroco, ó á D. Pedro Joseph de Ibarrola, Alcalde por el estado noble en ella; en la inteligencia de que el nombramiento se ha de hacer el último dia del referido mes de Junio, y el electo ha de dar principio á su minist</t>
  </si>
  <si>
    <t>de Iguarra, Miguel</t>
  </si>
  <si>
    <t>Miguel de Iguarra</t>
  </si>
  <si>
    <t>ente la'Hignéra: para la Dignidad de Abad del Asei, en la catedral de CuencF, vaéáñté por muerte de D. Miguel de Iguarra, á D. Manuel Simón de Olanrte r para la Dignidad de Maestrescuela de la catedral de Canaria, vadahté ^pot promoción de D. Luis de la Encina á la de Arcediano titular, á D/Ahcires</t>
  </si>
  <si>
    <t>de Ileredia, Manuel</t>
  </si>
  <si>
    <t>Manuel de Ileredia</t>
  </si>
  <si>
    <t>bispado: para otra Canongía de la colegial de Valpue.sta, diócesis de Burgos, vacante por muerte de D. Manuel de Ileredia, á D. Santiago Fontecha, Racionero de la misma colegial: para una Ración de la catedral de Málaga, vacante por promoción de D. Salvador Casamayor á una Canongía de la misma catedr</t>
  </si>
  <si>
    <t>de Iriarte, Pedro</t>
  </si>
  <si>
    <t>Pedro de Iriarte</t>
  </si>
  <si>
    <t>e este Mercurio; y para gobierno del público se avisa que los demas seguirán á este sin dilación. ■ Don Pedro de Iriarte , de Cádiz, remitió por el correo en 29 de Abril á Don Miguel Joseph de Gainza, de Pamplona, tres vales Reales, uno de óoo pesos, de Enero, núm. 3Ó4037, otro de 300 pesos , de Set</t>
  </si>
  <si>
    <t>de Iribarren, Juan Bautista</t>
  </si>
  <si>
    <t>Juan Bautista de Iribarren</t>
  </si>
  <si>
    <t>, de Amenabar, en Barcelona á los referidos Sres. viuda de D. Antonio Reynes é hijos, y en Madrid á D. Juan Bautista de Iribarren.. ' . e . : Don Roque. Campn, de Madrid , remitió por el correo de 8 de Febrero de este año, endosados con esta fecha a D. Joseph Gamón,, de Málaga, tres• vales Reales de 150 peso</t>
  </si>
  <si>
    <t>de Iribe, Domingo</t>
  </si>
  <si>
    <t>Domingo de Iribe</t>
  </si>
  <si>
    <t>hama, en la diócesis de Cartagena, vacante por fallecimiento de D. Francisco de Paula Sanguineto, á D. Domingo de Iribe, con la obligación de enseñar lógica y filosofía moral en el seminario de Vergara. En el regimiento de Pavía, quarto de Cazadores, se ha servido promover el Rey á Teniente al Alfé</t>
  </si>
  <si>
    <t>de Iriberri, Joseph Joaquín</t>
  </si>
  <si>
    <t>Joseph Joaquín de Iriberri</t>
  </si>
  <si>
    <t>. Joaquín Sistemes, de la de Mallorca ; á D. Joseph Salvador López del Pan, de la de Asturias , y á D. Joseph Joaquín de Iriberri, Alcalde del Crimen de la misma Audiencia de la Coruña. Para las plazas del Crimen de ella á D. Lucas Iliscio Fernandez, D. Francisco Fernandez dej Pino y D. Francisco Martínez de</t>
  </si>
  <si>
    <t>de Irujo, Carlos María</t>
  </si>
  <si>
    <t>Carlos María de Irujo</t>
  </si>
  <si>
    <t>las Naciones, hecho por el Marques de Condorcet, y traducido con varias adiciones del original por Don Carlos María de Irujo: un tomo en 8.° marquíHa. Se hallará á 14 rs. en pasta en el despacho de la imprenta Real. fa» ' ■ n 1 «11 ■■■ l"j 1 1 imi» i 'i—— ■ ■——————i■ * * * * —i»— Se abre subscripción á</t>
  </si>
  <si>
    <t>de Isasiia y Colarte, Andrés</t>
  </si>
  <si>
    <t>Andrés de Isasiia y Colarte</t>
  </si>
  <si>
    <t>la Dignidad de Arcediano mayor del Salvador de la. metropolitana de Zaragoza, vacante por muerte de Don Andrés de Isasiia y Colarte, á D. Pedro Atanasío Pardo y Arce: parada Dignidad de Tesorero de la catedral de Segovia^Vacánté pór fallecimiento de D. Ramón Galamino, á D. Joseph de Azpeytia, Canónigo de la mi</t>
  </si>
  <si>
    <t>de Iturmendi, Andrés</t>
  </si>
  <si>
    <t>Andrés de Iturmendi</t>
  </si>
  <si>
    <t>villa deMaqueda, en la diócesis de Toledo, vacantes por renuncia de D. Francisco Alonso de Tuero, á D. Andrés de Iturmendi ; y para la Dorna tercera de la parroquial de Castellón de Ampurias, diócesis de Gerona, vacante por muerte de D. Pedro Gauler, á D. Luis García Conde. £1 Bey se ha servido confer</t>
  </si>
  <si>
    <t>de Iturriaga, Ramón</t>
  </si>
  <si>
    <t>Ramón de Iturriaga</t>
  </si>
  <si>
    <t>y se ba servido nombrar, para, la Canongía de la catedral de Falencia, vacante por fallecimiento de D. Ramón de Iturriaga, á D. Joaquín María Piñeyro; y para el Beneficio de la parroquial de S. Martin de ía villa de Alburquerque, ep la diócesis de Badajoz, vacante por ascenso de D. Juan Carballar á o</t>
  </si>
  <si>
    <t>de Jáuregui, Manuel Francisco</t>
  </si>
  <si>
    <t>Manuel Francisco de Jáuregui</t>
  </si>
  <si>
    <t>olas se ha servido promover el Rey á Capitanes á los primeros Tenientes y Comandantes de granaderos D. Manuel Francisco de Jáuregui y D. Juan Figueroa. S. M. se ha dignado promover en el regimiento de infantería de Córdoba á Teniente al Subteniente de granaderos D. Antonio Xerez: en el de Aragón á Teniente al Subt</t>
  </si>
  <si>
    <t>de Junco, Sebastián Francisco</t>
  </si>
  <si>
    <t>Sebastián Francisco de Junco</t>
  </si>
  <si>
    <t>gial de Covadonga, diócesis de Oviedo, vacante por fallecimiento de D. Francisco González Pinera, á D. Sebastian Francisco de Junco, Cura de S. Justo y Pastor en la Riera y Coto de Covadonga: para otra de la colegial de Valpuesta, diócesis de Burgos, vacante por renuncia que hizo de ella D. Santiago Izar de la</t>
  </si>
  <si>
    <t>de Kempis, Tomás</t>
  </si>
  <si>
    <t>Tomás de Kempis</t>
  </si>
  <si>
    <t>pe. Imitación de Christo y'menosprecio del mundo, compuesto .en latín por el V. Tomas de Kempis, Canónigo reglar de S. Agustín, traducido en español por el P. Juan Eusébio de Ñieremberg, de la Compañía de Jesús, añadidos los avisos y dictámenes de espíritu ;y perfección del mismo P. J</t>
  </si>
  <si>
    <t>de la Barre, Manuel</t>
  </si>
  <si>
    <t>Manuel de la Barre</t>
  </si>
  <si>
    <t>onas se ha servido promover el Rey á Capitán al primer Teniente de granaderos, graduado de Coronel, D. Manuel de la Barre. ■ ■ + j r' k ' q k* S. M. se ha dignado promover en el regimiento de Córdoba a Subteniente de bandera al Sargento primero de granaderos D. Miguel Vivaldo* en el de Zaragoza á Sub</t>
  </si>
  <si>
    <t>de la Bastida, Joseph Gregorio</t>
  </si>
  <si>
    <t>Joseph Gregorio de la Bastida</t>
  </si>
  <si>
    <t>esorero D. Joseph Vicente Troitiño: para la Tesorería al Cura Rector del Sagrario de dicha catedral D. Joseph Gregorio de la Bastida: para el Arcedianato de la catedral de Quito,’vacante por muerte de D. Pedro Gómez de Medina, al Maestrescuela D: Miguel de Unda: para la Maestrescclía al Tesorero D. Maximiliano</t>
  </si>
  <si>
    <t>de la Cava, Ignacio</t>
  </si>
  <si>
    <t>Ignacio de la Cava</t>
  </si>
  <si>
    <t>e primeros de Abril del año próximo pasado, hasta que M. se transfirió á Madrid, acompañó y ayudó á D. Ignacio de la Cava, Cirujano de Cámara de S. M., á vacunar á mas de 190 niños, y después de esto, ‘en cumplimiento del encargo que el Gobernador de dicho Real sitio de Aranjuez le hizo de orden del</t>
  </si>
  <si>
    <t>de la Chica, Joaquín</t>
  </si>
  <si>
    <t>Joaquín de la Chica</t>
  </si>
  <si>
    <t>á los de infantería y de los regimientos de Milicias de Chinchilla y Jaén D. Tí, burcio Carcelen y D. Joaquín de la Chica.. El dia io .de Diciembre ultimo falleció en la ciudad de Valencia á los 64 años , 6 meses y 8 dias de edad la Excma. Sra. Doña María de la Portería, Lesquina y Gasea, Condesa de</t>
  </si>
  <si>
    <t>de la Concha, Joseph</t>
  </si>
  <si>
    <t>Joseph de la Concha</t>
  </si>
  <si>
    <t>el Aguiíar y D. Marcelo Porrata , Ayudantes, y D. Pedro Caliani; Ayudantes á los Capitanes segundos D. Joseph de la Concha y D. Cayetano Ribas; á Capitanes segundos á los Tenientes D. Jo-^ seph de Power, de granaderos, D. Juan Viñals, D. Luis de Lara, D. Joseph Salazar, D. Joseph de la Espada, D. Esteban</t>
  </si>
  <si>
    <t>de la Corte, Felipe</t>
  </si>
  <si>
    <t>Felipe de la Corte</t>
  </si>
  <si>
    <t>s los segundos D. Juan María de la Cruz y D. Manuel Rodríguez Fito; y á Capitán segundo al Teniente D. Felipe de la Corte. JEn América. El Rey se ha servido conferir la Sargentía mayor del regimiento de dragones provinciales de Mechoacan á D. Melchor de Seguera, Capitán del regimiento de infantería d</t>
  </si>
  <si>
    <t>de la Costa, Vicente</t>
  </si>
  <si>
    <t>Vicente de la Costa</t>
  </si>
  <si>
    <t>Murcia, é Intendente de los Reales exércitos con exercicio en, el de Castilla la nueva , dada ante D. Vicente de la Costa, Escribano del número de esta villa y principal de esta comisión, y á virtud de Real orden de S. M. de 10 del corriente , se ha mandado sacar á pública subasta por término de 8 dí</t>
  </si>
  <si>
    <t>s, del Consejo de S. M., primer Teniente Corregidor de esta villa , por la escribanía del número de D. Vicente de la Costa, eñ el término de 20 dias. , Memorias para la vida del Sto. Rey D. Fernando, dadas á luz por D. Miguel de Manuel y Rodríguez, Bibliotecario primero de Jos Reales estudios de Madri</t>
  </si>
  <si>
    <t>Castilla la Nueva, por su auto de 14 del mismo, proveído ante el Escribano principal de la comisión D. Vicente de la Costa, se saquen á pública subasta por término de 30 dias dichas provisiones, ¿on prevención de que empezará á correr dicho "término desde hoy. Las personas que quisiesen hacer postura</t>
  </si>
  <si>
    <t>ó qualesquiera de dichas fincas acuda en el precitado término ante S, S. y escribanía de número de D. Vicente de la Costa. Por providencia del Sr. Félix Muñoz, Alcalde ordinario por el estado general de Ja villa de Valdemoro, y á instancia de los señores testamentarios y poseedor del mayorazgo y patr</t>
  </si>
  <si>
    <t>2.0, á las 9 en punto de la mañana, por ante el Escribano de la comisión y del número de esta villa D. Vicente de la Costa. Los acreedores á la testamentaría de la Sra. Marquesa viuda que fué de S. Andrés comparecerán dentro del término de 15 dias los de cita corte, y de 30 los de fuera, á presentar y</t>
  </si>
  <si>
    <t>de la Cruz Hartera, Juan</t>
  </si>
  <si>
    <t>Juan de la Cruz Hartera</t>
  </si>
  <si>
    <t>ría fixo de Cartagena de In* dias se ha dignado el Rey promover á Capitán al Teniente de granaderos D. Juan de la Cruz Hartera; a Teniente de granaderos al de fusileros D. Gregorio García; a Tenientes de fusileros ¿ios Subtenientes D. Fran*cisco López de Vergara y D. Tomas Alburquerque, y á Subtenientes d</t>
  </si>
  <si>
    <t>de la Cruz, Antonio</t>
  </si>
  <si>
    <t>Antonio de la Cruz</t>
  </si>
  <si>
    <t>ner «us progresos , escrito en francés por el célebre Guyton de Morveau, y traducido al español por D. Antonio de la Cruz, primer ayudante de farmacia del exército con destino al laboratorio castrense de medicinas, boticario mayor del hospital General v Pasión, y comisionado por la Real Junta de ello</t>
  </si>
  <si>
    <t>omover á Teniente Cororíel al Xefe de brigada D. Casiano Arsú; á Xefe de brigada al Capitán primero D. Antonio de la Cruz; á Capitán primero al Capital* segundo D. Ramón Pola; á Capitanes segundos á los Tenientes D. Joseph Aguílar, D. Fernando Saravia y D. Joseph Diez Texada, y á Te-r nientes de Maes</t>
  </si>
  <si>
    <t>de la Cruz, Juan María</t>
  </si>
  <si>
    <t>Juan María de la Cruz</t>
  </si>
  <si>
    <t>. En el Real cuerpo de Ingenieros del exército ha promovido S. M. á Capitanes primeros los segundos D. Juan María de la Cruz y D. Manuel Rodríguez Fito; y á Capitán segundo al Teniente D. Felipe de la Corte. JEn América. El Rey se ha servido conferir la Sargentía mayor del regimiento de dragones provinciale</t>
  </si>
  <si>
    <t>de la Cruz, Manuel</t>
  </si>
  <si>
    <t>Manuel de la Cruz</t>
  </si>
  <si>
    <t>ntía al Teniente, graduado de Capitán, D. Clemente Torrent, y Subtenencias de bandera í los Cadetes D. Manuel de la Cruz y D. Andrés Arango, y al Sargento primero de granaderos D. Antonio Rodríguez: en el de Cantabria Compañía al Teniente de granaderos con grado de Capitán D. Columbano Cabrera; y en el</t>
  </si>
  <si>
    <t>de la Cuerda, Francisco</t>
  </si>
  <si>
    <t>Francisco de la Cuerda</t>
  </si>
  <si>
    <t>Arzobispo de aquella ciudad, Inquisidor general, Consejero de Estado; y Asistentes los limos. Sres. Don Francisco de la Cuerda, del Consejo de la suprema Inquisición, y Don Antonio de Vila y Camps, Obispo de Albarracin; y Padrino el Excmo. Sr. Duque de Medinaceli y Santisteban, en cuyo nombre asistió á es</t>
  </si>
  <si>
    <t>Sr. D. Ramón Falcon de Salcedo, Obispo de Zamora y electo de Cuenca, y asistentes los limos. Sres. D. Francisco de la Cuerda, Obispo que fué de Puerto Rico, y D. Fr. Cirilo de Barcelona, Obispo de Tricali; y su padrino el Excmo. Sr. Marques de Cogolludo, á nombre de su padre el Excmo. Sr. Duque de Medin</t>
  </si>
  <si>
    <t>siendo Consagrante el Emo. y Excmo. Sr. Cardenal Arzobispo de Toledo; y Asistentes los limos. Sres. D. Francisco dé la Cuerda y D. Atanasio Puyal y Poveda, Obispo de Caristo y Auxiliar de esta corte. Fué padrino del de Valladolid el Excmo. Sr.Marques de Astorga, Conde de Altanaba; y del de la Granja el muy i</t>
  </si>
  <si>
    <t>de la Cueva y Velasco, Miguel Joseph María</t>
  </si>
  <si>
    <t>Miguel Joseph María de la Cueva y Velasco</t>
  </si>
  <si>
    <t>20 de Octubre último falleció en la villa de Arenas, á los 60 años y un mes de edad, el Excmo. Sr. D. Miguel Joseph María de la Cueva y Velasco, Duque de Alburquerque, Marques de la Mina y de Cuellar, Conde de Siruela, de Ledesma , de Huelma y de Pezuela de las Torres &amp;c., Grande de España de primera clase, Cábáíl'eró de</t>
  </si>
  <si>
    <t>de la Encina, Francisco</t>
  </si>
  <si>
    <t>Francisco de la Encina</t>
  </si>
  <si>
    <t>ervido nombrar pira la Dignidad de Arcediano .de Cerdaña y Canongía unida de la catedral de Urge! á D. Francisco de la Encina : para el Arcedianato mayor de la catedral de Tortosa á D. Félix Amat j Abad electo de la colegiata de S. Ildefonso: para tres Beneficios de la parroquia de Villafranca del Panadé</t>
  </si>
  <si>
    <t>de la Encina, Luis</t>
  </si>
  <si>
    <t>Luis de la Encina</t>
  </si>
  <si>
    <t>de Olanrte r para la Dignidad de Maestrescuela de la catedral de Canaria, vadahté ^pot promoción de D. Luis de la Encina á la de Arcediano titular, á D/Ahcires Árveto Britot para una Canongía Magistral de la misma- catedr^Ld’e Canaria, vacante por fallecimiento de D. Joseph Icaza y Cabré jas, áD/Jua</t>
  </si>
  <si>
    <t>de la Espada, Joseph</t>
  </si>
  <si>
    <t>Joseph de la Espada</t>
  </si>
  <si>
    <t>Tenientes D. Jo-^ seph de Power, de granaderos, D. Juan Viñals, D. Luis de Lara, D. Joseph Salazar, D. Joseph de la Espada, D. Esteban Fernandez y D. Juan Dávila; á Tenientes de granaderos á los de fusileros D. Joaquín Goyena y D. Bartolomé Lison ; á Tenientes á los Subtenientes D. Pedro Bofarrull y D</t>
  </si>
  <si>
    <t>de la Fita y Camón, Francisco Xavier</t>
  </si>
  <si>
    <t>Francisco Xavier de la Fita y Camón</t>
  </si>
  <si>
    <t>ica. El Rey se ha servido nombrar para el Deanato de la. catedral de Cuenca, vacante por ascenso de D. Francisco Xavier de la Fita y Camón al Obispado de la misma iglesia, al Arcediano de ella D. Manuel Estéban de Vivanco : para esta Dignidad al Maestrescuela</t>
  </si>
  <si>
    <t>de la Fuente, Manuel</t>
  </si>
  <si>
    <t>Manuel de la Fuente</t>
  </si>
  <si>
    <t>del de S. Sebastian , 3 vales Reales de 600 pesos de i.° de Setiembre,endosados á favor de este por D. Manuel de la Fuente , señalados con los números 193, 3674 J 8001 ; y habiéndose extraviado, se da este aviso para que el sugeto en cuyo poder se hallen se sirva entregarlos en Cádiz al dicho Sr. Mend</t>
  </si>
  <si>
    <t>de la Fuente, Romualdo</t>
  </si>
  <si>
    <t>Romualdo de la Fuente</t>
  </si>
  <si>
    <t>primero de granaderos D. Joseph Espinar: en el de Mallorca á Teniente al Subteniente de granaderos D. Romualdo de la Fuente; y en el batallón de Voluntarios, de Valencia á Capitán segundo al Teniente D. Lamberto Lhoneur. La Real Sociedad económica de esta corte, con el deseo de extender la plantación d</t>
  </si>
  <si>
    <t>de la Gandara, Vicente Antonio</t>
  </si>
  <si>
    <t>Vicente Antonio de la Gandara</t>
  </si>
  <si>
    <t>as de los autores aspirantes á los premios 5.® y 6.° deberán dirigirse al Secretario de la Sociedad D. Vicente Antonio de la Gandara en todo el mes de Diciembre cpn carta cerrada que contenga</t>
  </si>
  <si>
    <t>de la Garza, ALexandro Vicente</t>
  </si>
  <si>
    <t>ALexandro Vicente de la Garza</t>
  </si>
  <si>
    <t>el Nuevo Reyno de León, vacante por renuncia que hizo de ella D. Joseph Pedro BustUlo y Cevallos, á D. ALexandro Vicente de la Garza, Cura de la parroquia de S. Juan Bautista de la* villa de Cade^reyta.</t>
  </si>
  <si>
    <t>de la Huerta, Joseph Antonio</t>
  </si>
  <si>
    <t>Joseph Antonio de la Huerta</t>
  </si>
  <si>
    <t>a. El Rey se ha servido nombrar para el Obispado de León de Nicaragua, vacante por fallecimiento de D. Joseph Antonio de la Huerta, al Dr. D. Juan Joseph Perez del Notario, Canónigo Magistral de la colegiata de Logroño: para una Media-Ración de la metropolitana de Manila, vacante por muerte de D. Vicente Ines</t>
  </si>
  <si>
    <t>de la Iglesia, Domingo</t>
  </si>
  <si>
    <t>Domingo de la Iglesia</t>
  </si>
  <si>
    <t>gimiento de infantería de Buenos-Ay-, res D. Antonio y D. Pedro Romero de Tejada, al del de América D. Domingo de la Iglesia, y al del de caballería de la Reyna, segundo de lí-; nea, D. Juan Oromi; como á D. Joseph y D. Pedro Aguado, Tenientes! dei regimiento provincial de Cuenca, á D. Antonio Ibarrola,</t>
  </si>
  <si>
    <t>de la Linde y Campos, Francisco</t>
  </si>
  <si>
    <t>Francisco de la Linde y Campos</t>
  </si>
  <si>
    <t>cia al Subteniente de granaderos D. Joseph León -Segrí; y en-el de América Capellanía al presbítero D. Francisco de la Linde y Campos. S M se ha servido conceder, el empleo de Portaestandarte en el regimiento de caballería de Borbon al Sargento'primero D. Juan de Puga. Por el Ministerio de Hacienda seta comunica</t>
  </si>
  <si>
    <t>de la Madrid, Tomás</t>
  </si>
  <si>
    <t>Tomás de la Madrid</t>
  </si>
  <si>
    <t>Francisco Durango é hijo mayor. En Zamora.......... D. Vicente Perez de Tejada. En Zaragoza....... D. Tomas de la Madrid. En Zeuta.............. D. Pedro Huguet, comisionado subalterno del de Cádiz. El Consejo, á consulta de la Comisión gubernativa de Consolidación de Vales, y con aprobación de S. M</t>
  </si>
  <si>
    <t>rancisco Durango é hijo mayor. En Zamora........... D. Vicente Perez de Tejada. En Zaragoza........ D. Tomas de la Madrid. En Zeuta........... D. Pedro Huguet, comisionado subalterno del de Cádiz. El Consejo, a consulta de la Comisión gubernativa de Consolidación de Vales , y con aprobación de S. M.,</t>
  </si>
  <si>
    <t>rancisco Durango é hijo mayor. En Zanjora......... D. Vicente Perez de Tejada. En Zaragoza......... D. Tomas de la Madrid. En Zeuta................ D. Pedro Huguet, comisionado subalterno del de Cádiz. Asimismo los tenedores de Vales* dinero de la Real Tesorería de Consolidación, correspondientes á l</t>
  </si>
  <si>
    <t>de la Mata-Linares, Benito</t>
  </si>
  <si>
    <t>Benito de la Mata-Linares</t>
  </si>
  <si>
    <t>a plaza de Ministro Togado del propio Consejo, vacante por muerte de D, Tomas Alvares de Ácevedb, á D. Benito de la Mata-Linares, Regente de la Real Audiencia de Buenos-Ayres; y para la Fiscalía del mismo Tribunal por lo perteneciente al Perú, vacante por jubilación de D. Joseph Cistúe, á D. Ambrosio de Cer</t>
  </si>
  <si>
    <t>. M. nombrar para la plaza de Regente de laReal Audiencia de Buenos-Ayres, vacante por promoción de D. Benito de la Mata-Linares á una plaza del Consejo de Indias, á D. Joseph Gorjea V adido, Fiscal de lo civil de la Real Audiencia de Lima: para la. Regencia de la de Guadalaxara, vacante por promoción de D.</t>
  </si>
  <si>
    <t>de la Muela, Joseph</t>
  </si>
  <si>
    <t>Joseph de la Muela</t>
  </si>
  <si>
    <t>uero, dota* da en 83&gt; rs. anuales, pagados de propios. Los pretendientes dirigirán sus memoriales a D. Joseph de la Muela, ó á D. Gaspar López del Prado, Capitulares de aquel Ayuntamiento; en inteligencia de que el dia i.° de Setiembre próximo se procederá á su provisión. En los lugares de Bielba, Rá</t>
  </si>
  <si>
    <t>de la Oliva y Gago, Antonio</t>
  </si>
  <si>
    <t>Antonio de la Oliva y Gago</t>
  </si>
  <si>
    <t>misma colegial: para otra Canongía de la colegial del Sacromonte de Granada, vacante por muerte de D. Antonio de la Oliva y Gago, á D. Cayetano Márquez, Colegial que fuá en el del mismo Sacromonte: para una Media-Ración de la catedral de Málaga, vacante por fallecimiento de D. Joseph Carrillo y Luna, á D. F</t>
  </si>
  <si>
    <t>de la Parra Franco, Blas</t>
  </si>
  <si>
    <t>Blas de la Parra Franco</t>
  </si>
  <si>
    <t>ir y 3 los de contar. Quien quisiere Facer pretensión á ella puede dirigir su memorial y muestras á D. Blas de la Parra Franco, comisionado y Regidor de dicha villa. Número xxx del Memorial literario, ó biblioteca periódica de ciencias y artes. Contiene un paralelo de la dramática española con la francesa</t>
  </si>
  <si>
    <t>de la Paz Rodríguez, Joseph María</t>
  </si>
  <si>
    <t>Joseph María de la Paz Rodríguez</t>
  </si>
  <si>
    <t>uso diario de á bordo. Tratado del xabon ácido , ó xabon sulfúrico de la nueva "nomenclatura : por D. Joseph María de la Paz Rodríguez, Médico titular de la villa de Talavera, Censor de su Real Sociedad económica , socio de las Reales Academias médica Matritense y de medicina práctica de Barcelona &amp;c.': un tomito</t>
  </si>
  <si>
    <t>de la Peña Campuzano, Joseph</t>
  </si>
  <si>
    <t>Joseph de la Peña Campuzano</t>
  </si>
  <si>
    <t>de Mechoacan, vacante por ascenso de D. Ildefonso Gómez Ramírez Limón á la Maestrescolía de ella, á Don Joseph de la Peña Campuzano, Cura del pueblo de Penjamo; y para la Canongía Lectoral de la iglesia de Cuba , vacante por muerte de D. Joseph Nicolás Ferera, al Dr. D. Vicente Palacios. En el batallón de Mili</t>
  </si>
  <si>
    <t>de la Peña y Benitez, Antonio</t>
  </si>
  <si>
    <t>Antonio de la Peña y Benitez</t>
  </si>
  <si>
    <t>n de Dios Carcelen; y las Subtenencias de bandera en los de Jaén, Avila, Ciudad-Real y Chinchilla á D. Antonio de la Peña y Benitez, D. To.i * ' 5 - 4 . .. * • . y ,. . 1 - , ' *</t>
  </si>
  <si>
    <t>de la Peña y Benítez, Joseph</t>
  </si>
  <si>
    <t>Joseph de la Peña y Benítez</t>
  </si>
  <si>
    <t>o Subtenientes, de bandera en los de Jaén, Sigiienza, Burgos, Ecija, Bujalance, Plasencia'yXoria, á D. Joseph de la Peña y Benítez, D. Joseph María Segovia, D. Serafín María López, D. Andrés Martin y Galindez, D. Diego Manuel de Oca y Armijo, D. Antonio Fernandez Gamonal y D. Fernando Velasco y Cartillo. ....</t>
  </si>
  <si>
    <t>de la Peña, Francisco</t>
  </si>
  <si>
    <t>Francisco de la Peña</t>
  </si>
  <si>
    <t>ancia del batallón de Milicias disciplinadas de Pardos de Valencia, en la provincia de Venezuela, á D. Francisco de la Peña, Capitán del regimiento de infantería de la Reyna. Los tenedores de Vales-dinero de la Real Caxa de Consolidación, de la creación de i.° de Mayo de 1802, que hasta el dia no hayan</t>
  </si>
  <si>
    <t>de la Peña, Joseph Francisco</t>
  </si>
  <si>
    <t>Joseph Francisco de la Peña</t>
  </si>
  <si>
    <t>misma provincia: para el empleo que este dexa ha nombrado S. M. al Teniente veterano de infantería D. Joseph Francisco de la Peña: para el de Ayudante del regimiento de Milicias disciplinadas de Blancos de Cartagena á D. Juan Wauters, Teniente Veterano de infantería; y para-el de Ayudante del regimiento de i</t>
  </si>
  <si>
    <t>de la Peña, Julián</t>
  </si>
  <si>
    <t>Julián de la Peña</t>
  </si>
  <si>
    <t>que desde ellas se fuesen trasladando las cantidades de dinero á esta corte, y poder del presbítero D. Julián de la Peña, mayordomo del Obispo Auxiliar D. Atanasio Puya!, y como hasta el presente haya sido muy corta la cantidad' recogida, creyéndose que dimane de falta de medios para girar letras de</t>
  </si>
  <si>
    <t>de la Piedra, Benito</t>
  </si>
  <si>
    <t>Benito de la Piedra</t>
  </si>
  <si>
    <t>lona...... D, Ramón de Llordella é hijo. En Burgos............D. Andrés Fray le. En Cádiz........ . D. Benito de la Piedra. En Cartagena.......D. Manuel de Ozores. En Ciudad-Real... D. Ramón Antonio Pico*</t>
  </si>
  <si>
    <t>Barcelona.......D. Ramón de Llordella é hijo. En Burgos........ . D. Andrés Frayle. En Cádiz...... D. Benito de la Piedra. En Cartagena........D. Manuel de Ozores. En Ciudad-Real... D. Ramón Antonio Pico. En Córdoba...........Sres. Barcia padre é hijo. En la Coruña........ D. Manuel Antonio Elzaurd?.</t>
  </si>
  <si>
    <t>....D. Ramón de Llordeüa é hijo. En Báreos..............D. Andrés Fray le. En Cádiz................ D. Benito de la Piedra. En Cartagena........ D. Manuel de Ozores. En Ciudad-Real.,. D. Ramón Antonio Pico. En Córdoba............ Sres. Barcia padre é hijo. En la Coruña.........D. Manuel Antonio Elzaur</t>
  </si>
  <si>
    <t>de la Plaza, Joseph Matías</t>
  </si>
  <si>
    <t>Joseph Matías de la Plaza</t>
  </si>
  <si>
    <t>Vergara; y para otra Media-Ración de la catedral de Popayan, vacante por renuncia que hizo de ella D. Joseph Matías de la Plaza, í D. Matías Antonio Gómez, Examinador Sinodal del referido obispado. En el regimiento de infantería de la Corona, de Nueva-España, se ha servido el Rey promover á Capitán al Teni</t>
  </si>
  <si>
    <t>de la Portería, María</t>
  </si>
  <si>
    <t>María de la Portería</t>
  </si>
  <si>
    <t>re ultimo falleció en la ciudad de Valencia á los 64 años , 6 meses y 8 dias de edad la Excma. Sra. Doña María de la Portería, Lesquina y Gasea, Condesa de Castrillo., Orgaz ,• Sumacarceí, Serramagna , Marquesa de Viilasidro, Palma , la Vega y Boecillo; Grande de España de primera clase: su afabilidad co</t>
  </si>
  <si>
    <t>de la Puente, Manuel</t>
  </si>
  <si>
    <t>Manuel de la Puente</t>
  </si>
  <si>
    <t>ioo6 z©; á Capitán segundó al Teniente D, Santiago Fogasa, y á Teniente a! Subteniente D. Manuel de la Puente. £n América. El Rey se ha servido nombrar para el Obispado de León de Nicaragua, vacante por fallecimiento de D. Joseph Antonio de la Huerta, al Dr. D. Juan Joseph Perez del Notar</t>
  </si>
  <si>
    <t>de la Quadra, Ramón</t>
  </si>
  <si>
    <t>Ramón de la Quadra</t>
  </si>
  <si>
    <t>ancias metálicas, para distinguir las unas de las otras por medio de sus caractéres exteriores, por D. Ramón de la Quadra; y exposición de los compañeros y criaderos'de cstas^ mismas substancias, por D. Ramón Espineyra, para el uso del Real estudio mineralógico establecido en Madrid. Se hallará con l</t>
  </si>
  <si>
    <t>de la Rica y Aguilar, Manuel</t>
  </si>
  <si>
    <t>Manuel de la Rica y Aguilar</t>
  </si>
  <si>
    <t>el de otra qualquiera propuesta relativa á otra clase de postura, se dirigirá Ja correspondencia á D. Manuel de la Rica y Aguilar, Canónigo Penitenciario de la insinuada iglesia colegial, ó al Secretario capitular. Se halla vacante en la villa de Montenegro de Cameros la plaza de Médico, que vale 60 rs., pag</t>
  </si>
  <si>
    <t>de la Rocha, Ramón</t>
  </si>
  <si>
    <t>Ramón de la Rocha</t>
  </si>
  <si>
    <t>ército á. Teniente Coronel á D. Fernando Gabriel, Sargento mayor; á este empleo á D. Juan Zapatero, D. Ramón de la Rocha y D. Juan Pi-¡ rez, Capitanes primeros; a esta clase á D. Manuel de Hita, D. Luis Ve-, yan y D. Luis Laviña, Capitanes segundos; y á esta á los Tenientes Don Luis Valanzat y D. Juan P</t>
  </si>
  <si>
    <t>de la Rúa, Andrés</t>
  </si>
  <si>
    <t>Andrés de la Rúa</t>
  </si>
  <si>
    <t>iente,Coronel al Xefe de brigada D. Juan Calvo de la Cantera ; á Xéfe de brigada al Capitán primero D. Andrés de la Rúa; á Capitanes primeros á los Capitanes segundos D. Alexandro Carbia y D. Vicente Chami</t>
  </si>
  <si>
    <t>de la Sota Crespo, Santiago</t>
  </si>
  <si>
    <t>Santiago de la Sota Crespo</t>
  </si>
  <si>
    <t>os pliegos ó proposiciones sé presentarán'en la secretaría de íá Real dirección que está á cargo de D. Santiago de la Sota Crespo. "En la villa de Ayllon, provincia de Segovia, se halla vacante la plaza de Maestro de primeras letras, que tiene de dotación por ahora 1400 rs. al' año , 9 fanegas de triga y ceb</t>
  </si>
  <si>
    <t>de la Torre y Arce, Diego</t>
  </si>
  <si>
    <t>Diego de la Torre y Arce</t>
  </si>
  <si>
    <t>el Señorío de Tama Por* resolución á consulta del Consejo de las Ordenes se sirvió el Rey nombrar á D. Diego de la Torre y Arce, religioso de la de Santiago y, Canónigo de la santa iglesia primada deToledo ,para laDignidad deObis-; po Prior perpetuo del Real convento de Santiago de Uclés; y habiéndole admi</t>
  </si>
  <si>
    <t>de la Torre y Mollinedo, Domingo</t>
  </si>
  <si>
    <t>Domingo de la Torre y Mollinedo</t>
  </si>
  <si>
    <t>resentó Mr. Necker, ex-Ministro déla Real Hacienda de Francia : traducida é ilustrada con notas por D. Domingo de la Torre y Mollinedo, Oficial mayor de la Contaduría del cargo de la Superintendencia general de Juros, y de la del Monte pió de oficinas Reales: papel en 4.0 , su precio 4 rs. = E Filósofo á la moda,</t>
  </si>
  <si>
    <t>de la Torre, Antonio María</t>
  </si>
  <si>
    <t>Antonio María de la Torre</t>
  </si>
  <si>
    <t>D. Gabriel O-Rian, D. Martin Oderiz y Don Joaquín Elosua, y á Subtenientes de bandera á los Cadetes D. Antonio María de la Torre y D. Francisco Lleonart, y al Sa gento primero de granaderos D. Carlos Laurent. S._M. ha concedido á la villa de Fregenal, reyno de Sevilla y en la raya de Extremadura, la facultad de</t>
  </si>
  <si>
    <t>de la Vega y Bolaño, Joseph</t>
  </si>
  <si>
    <t>Joseph de la Vega y Bolaño</t>
  </si>
  <si>
    <t>e la villa de los Molares, en eL arzobispado de Sevilla , vacante por muerte de D. Miguel Gascón, á D. Joseph de la Vega y Bolaño: para el Beneficio simple servidero de la parroquia de Santa Cecilia de Medellinren el obispado de Plasencia, vacante por muerte de D.Ped ro Nuñez,á D. Joseph Calderón y Robles ,c</t>
  </si>
  <si>
    <t>de la Vega, Agustín</t>
  </si>
  <si>
    <t>Agustín de la Vega</t>
  </si>
  <si>
    <t>mayorla l-Ca^ pitan segundo D. Joseph Ruiz de Alcalá; á^CapitaU-segundó Jal Téfii,eirte de obreros D. Agustín de la Vega, y á Teniente de obreros al SdbteUiéhte D. Francisco Arriaul ’ : '! 7 a Quien quisiere hacer postura á la villa despoblada de S. CHrislóbal de Matamoros, tierra:y parjtidó de la d</t>
  </si>
  <si>
    <t>de La-Croix, Joaquín</t>
  </si>
  <si>
    <t>Joaquín de La-Croix</t>
  </si>
  <si>
    <t>una medalla de oro con el nombre del premiado y 300 rs. , cedido3 para los fondos de la sociedad, á D. Joaquín de La-Croix, individuo de número y mérito,, autor de una memoria sobre las minas de carbón de piedra descubiertas* en este Reyno , con el epígrafe: La escasez de montes, y la decadencia■ de l</t>
  </si>
  <si>
    <t>de Lagraña y Sierra, Joaquín</t>
  </si>
  <si>
    <t>Joaquín de Lagraña y Sierra</t>
  </si>
  <si>
    <t>&gt;ropia iglesia : para una Media-Ración, vacante por fallecimiento de D. ’Pedtp Joseph de Aizpuru, á D. Joaquín de Lagraña y Sierra, Cura Rector ¡de la misma catedral: para la Tesorería de la de Caracas, vacante por muerte de D. Domingo Antonio Lander, al Canónigo Doctoral D. Santiago de Zuloaga: para la Canon</t>
  </si>
  <si>
    <t>de Lanuza, Juan Bautista</t>
  </si>
  <si>
    <t>Juan Bautista de Lanuza</t>
  </si>
  <si>
    <t>a la 2.a edición, corregida y enmendada, de los Discursos predicables, ó las homilías del limo. Sr. D. Juan Bautista de Lanuza, Obispo que fué de Albarracin y Barbastro, dispuesto por orden de materias, y acomodado en la mejor forma para uso de los párrocos y oradores per los Dres. D. Juan Justo García, p</t>
  </si>
  <si>
    <t>de Lara, Luis</t>
  </si>
  <si>
    <t>Luis de Lara</t>
  </si>
  <si>
    <t>o Ribas; á Capitanes segundos á los Tenientes D. Jo-^ seph de Power, de granaderos, D. Juan Viñals, D. Luis de Lara, D. Joseph Salazar, D. Joseph de la Espada, D. Esteban Fernandez y D. Juan Dávila; á Tenientes de granaderos á los de fusileros D. Joaquín Goyena y D. Bartolomé Lison ; á Teniente</t>
  </si>
  <si>
    <t>de Lariz Uribe, Juan Matías</t>
  </si>
  <si>
    <t>Juan Matías de Lariz Uribe</t>
  </si>
  <si>
    <t>la extraordinaria magnitud de un buey de cinco años, cebado en Berriz, anteiglesia del Señorío, por D. Juan Matías de Lariz Uribe. No se tuvo la curiosidad de pesarlo antes de'desquartizarlo; pero los quartos solos pesaron 1118 libras, y él sebo 287, por donde podrá juzgarse del peso y magnitud del animal en</t>
  </si>
  <si>
    <t>de Larrain, Vicente</t>
  </si>
  <si>
    <t>Vicente de Larrain</t>
  </si>
  <si>
    <t>á D. Joseph Cortes y Madariaga, Canónigo de la catedral de Santiago de Chile; y para esta vacante á D. Vicente de Larrain, Cuta párroco de dicha catedral. «V ' . . S. M. se ha dignajdoíiioihbrar Comaridanté^en xefe del batallón de Pardos libres de infantería de Milicias disciplinadas de‘Panamá y su p</t>
  </si>
  <si>
    <t>de Latasa y Ortin, Félix</t>
  </si>
  <si>
    <t>Félix de Latasa y Ortin</t>
  </si>
  <si>
    <t>aragoneses que florecieron desde el año de 1795 hasta 1802 : su autor el Dr. D. Félix de Latasa y Ortin , Racionero de Mensa: tomo 6.° Se hallará con los 2 tomos de la Biblioteca antigua y los j anteriores de la Biblioteca nueva én la librería de Baylo, calle de las Carretas; y en Zaragoza en l</t>
  </si>
  <si>
    <t>de Ledesma, Juan Joseph</t>
  </si>
  <si>
    <t>Juan Joseph de Ledesma</t>
  </si>
  <si>
    <t>E 1 Rey se ha servido conferir Tenencias en el regimiento de infantería de Cantabria al Subteniente D. Juan Joseph de Ledesma: en el de las Ordenes Militares á los Subtenientes de granaderos D. Nicolás González y D. Diego Carbonell: en el de la Reyna Compañía al Ayudante, graduado de Capitán, D. Cayetano</t>
  </si>
  <si>
    <t>de Lema, Joseph Antonio</t>
  </si>
  <si>
    <t>Joseph Antonio de Lema</t>
  </si>
  <si>
    <t>, vacante por promoción de. D. An-¿ tonio Joaquín Perez Martínez á la Canongía Magistral de ella, á D. Joseph Antonio de Lema, Medio-Racionero de la misma; y para esta resulta á D. Joseph Miguel Perez, Cura Vicario, Juez eclesiástico del partido de Axuchistlan, en la diócesis de Mechoacan. El Rey ha nomb</t>
  </si>
  <si>
    <t>de Lence, Antonio</t>
  </si>
  <si>
    <t>Antonio de Lence</t>
  </si>
  <si>
    <t>Lugo , vacante por promoción de D. Benito de Lué y Riega á la Iglesia y Obispado de Buenos-Ayres, á D. Antonio de Lence, con retención ae la Canongía que goza en la misma catedral: para la Canongía de la catedral de Astorga , vacante por promoción de D. Antonio Roca y Seyxas al Priorato de Coba, Di</t>
  </si>
  <si>
    <t>á D. Antonio Treviño: para la Dignidad de Chantre de la catedral de Lugo, vacante por promoción de D. Antonio de Lence al Deanato de la misma, á D. Bartolomé Lorenzo Cienfuegos: para la Ración de la colegial de Soria, diócesis de Osma , vacante por promoción de *D. Joseph Gonzaléz á Canongía de la</t>
  </si>
  <si>
    <t>de Lenthe, Barón</t>
  </si>
  <si>
    <t>Barón de Lenthe</t>
  </si>
  <si>
    <t>ora que llegó aquí. El último paquebot que ha venido de Inglaterra ha traído al Barón de Lenthe, Ministro de Hannóver cerca de la corte de Londres.__ Los baxeles ingleses que cierran la entrada, del Elba, han hecho retroceder 14 buques dinamarqueses. TJT . ^ Viena 14 de Julio. X habié</t>
  </si>
  <si>
    <t>de León, Andrés</t>
  </si>
  <si>
    <t>Andrés de León</t>
  </si>
  <si>
    <t>á D. Manuel Blanco Ilernáez: para una Canongía de la metropolitana de Toledo, vacante por muerte de D. Andrés de León, á D. Joseph de Viu: para la Ración que este dexará en la propia metropolitana á Don Fermín Quadros, Capellán de Coro de la misma: para una Canongía de la colegial de Santillana,</t>
  </si>
  <si>
    <t>de Les, Salvador</t>
  </si>
  <si>
    <t>Salvador de Les</t>
  </si>
  <si>
    <t>primero D. Rosendo Franco y al Cadete de las compañías de cazadores de la plaza de Ceuta D. Salvador de Les: en el primer batallón de Voluntarios de Cataluña el empleo de segundo Ayudante al Teniente Don ¡Francisco Behy; y en el segundo batallón de Volúntanos de Cataluña Subtenencia al</t>
  </si>
  <si>
    <t>de Lianza, Rafael</t>
  </si>
  <si>
    <t>Rafael de Lianza</t>
  </si>
  <si>
    <t>Joaquín Vidal y Bou: Ayudantía en el de Guadalaxara al Teniente de granaderos, graduado de Capitán, D. Rafael de Lianza: Tenencia en el de Navarra al Subteniente de granaderos D. Christóbal Escovar: Compañía en el de América al Teniente de granaderos, graduado de Capitán, D. Antonio Campos; y Subte</t>
  </si>
  <si>
    <t>de Llano, Antonio María</t>
  </si>
  <si>
    <t>Antonio María de Llano</t>
  </si>
  <si>
    <t>en efectivo y otros percances propios de su facultad. El que quisiere pretender esta plaza acuda á D. Antonio María de Llano, Síndico Procurador general de dicho valle, y en esta corte á D. Pedro Antonio de Sobrado, que vive cava de S. Miguel, num. 1, quarto 3.0, con la expresión de sus méritos y circun</t>
  </si>
  <si>
    <t>de Llanos, Francisco</t>
  </si>
  <si>
    <t>Francisco de Llanos</t>
  </si>
  <si>
    <t>D. Miguel de Coca : Capjtanes,de fusileros de los.de Granada y Ronda á los Tenientes de granaderos D. Francisco de Llanos y D. Nicolás María Rendon: Tenientes de. granaderos de los de Santiago y Chinchilla á los de fusileros D. Jo§eph:Llórente, y D«.Bartolomé de Moya: Teniente de fusileros y Subteniente</t>
  </si>
  <si>
    <t>de Llermosilla, Juan Antonio</t>
  </si>
  <si>
    <t>Juan Antonio de Llermosilla</t>
  </si>
  <si>
    <t>ociedad: 12 por eh Exorno; Sr.. Arzobispo, director:- 7 por el Sr. Marques de Valera: 5 por el. Sr. D. Juan Antonio de Llermosilla : 3 por el socio D. Manuel de Velasco:; y r por. una persona particular , y se diéron también tres premios del mismo valor á un discípulo de la Real academia de S. Gárlcs, y á dos</t>
  </si>
  <si>
    <t>de Llordella, Ramón</t>
  </si>
  <si>
    <t>Ramón de Llordella</t>
  </si>
  <si>
    <t>. Fernando Echepare y sobrinos. En Badajoz..... .....D. Esteban de V aldivielso. En Barcelona...... D, Ramón de Llordella é hijo. En Burgos............D. Andrés Fray le. En Cádiz........ . D. Benito de la Piedra. En Cartagena.......D. Manuel de Ozores. En Ciudad-Real... D. Ramón Antonio Pico*</t>
  </si>
  <si>
    <t>... D. Fernando Echepare y sobrinos. En Badajoz.......... D. Tomas Merino Ortiz. En Barcelona.......D. Ramón de Llordella é hijo. En Burgos........ . D. Andrés Frayle. En Cádiz...... D. Benito de la Piedra. En Cartagena........D. Manuel de Ozores. En Ciudad-Real... D. Ramón Antonio Pico. En Córdoba..</t>
  </si>
  <si>
    <t>de Llordeüa, Ramón</t>
  </si>
  <si>
    <t>Ramón de Llordeüa</t>
  </si>
  <si>
    <t>. D. Fernando Echepare y sobrinos. En Badajoz........... D. Tomas Merino Ortiz. En Barcelona........D. Ramón de Llordeüa é hijo. En Báreos..............D. Andrés Fray le. En Cádiz................ D. Benito de la Piedra. En Cartagena........ D. Manuel de Ozores. En Ciudad-Real.,. D. Ramón Antonio Pic</t>
  </si>
  <si>
    <t>de Loizaga, Joseph Joaquín</t>
  </si>
  <si>
    <t>Joseph Joaquín de Loizaga</t>
  </si>
  <si>
    <t>cas en la erección del nuevo puerto, ha nombrado por sus comisionados absolutos para este encargo á D. Joseph Joaquín de Loizaga, D. Nicolás Ventura de Eguia, D*. Joseph Agustín Ibañez de Rentería y D. Francisco de Aranguren y Sobrado; y estos encargados en desempeño de sus obligaciones y en conformidad c.ó</t>
  </si>
  <si>
    <t>de Lomarla, Ramón</t>
  </si>
  <si>
    <t>Ramón de Lomarla</t>
  </si>
  <si>
    <t>S. M. se ha servido nombrar para la Vara de Alcalde mayor de la villa de Camproden, en Cataluña, á D. Ramón de Lomarla , Abogado del Colegio de esta corte ; para la.d¡e. ia villa de Agramunt á D. xAntoni_o Madolell: para la de la ciudad, de Vique á D. Antonio Argentiy Leis; y para la de la de Bala</t>
  </si>
  <si>
    <t>de Lope y Concha, Henrique</t>
  </si>
  <si>
    <t>Henrique de Lope y Concha</t>
  </si>
  <si>
    <t>ón de la propia metropolitana, vacante por promoción á una Ración de la misma de D. Miguel Dulce, á Don Henrique de Lope y Concha, Cura de Matacana, en ei expresad0 arzobispado. En el regimiento de infantería de la Corona de Nueva España se ha servido el Rey promover á Teniente de granaderos al de fusileros</t>
  </si>
  <si>
    <t>de Loresecha, Juan</t>
  </si>
  <si>
    <t>Juan de Loresecha</t>
  </si>
  <si>
    <t>retos siguientes: ,,IIe venido en jubilar con medio sueldo á los Oidores de la Audiencia de Galicia D. Juan de Loresecha, D. Marcos Antonio de Serralde y D. Bernardo Plerbella, y á los Alcaldes D. Joseph Palacios y León y Don Ramón Calvo de Rozas ; nombrando por Oidor supernumerario de la Chanciller</t>
  </si>
  <si>
    <t>de los Reyes, Joaquín</t>
  </si>
  <si>
    <t>Joaquín de los Reyes</t>
  </si>
  <si>
    <t>ientes de granaderos D. Patricio Gandía,D. Pedro de Silva y D. Casimiro Esteves , y al de fusileros D. Joaquín de los Reyes; á Subtenientes de granaderos á los de fusileros D. Joseph Díaz, D. Andrés Postigo y D. Juan Velazquez , y á Subtenientes á los Cadetes D. Felipe Antonio Valencia y D. Mariano Arr</t>
  </si>
  <si>
    <t>de los Ríos, Joseph Gabriel</t>
  </si>
  <si>
    <t>Joseph Gabriel de los Ríos</t>
  </si>
  <si>
    <t>e Albacete á D. Pantaleon Marcos Montesinos. Para la vara de Alcalde mayor de la ciudad de Burgos á D. Joseph Gabriel de los Ríos; y para la de la de Santander á á D. Julián Bringas. En América, S. M. se ha servido conferir el empleo de Ayudante-Inspector de los presidios de las provincias internas del Reyno</t>
  </si>
  <si>
    <t>de los Ríos, Miguel</t>
  </si>
  <si>
    <t>Miguel de los Ríos</t>
  </si>
  <si>
    <t>ncesa, Extremadura, Málaga y Granaderos Voluntarios de Estado, á los Tenientes Coroneles graduados, D. Miguel de los Ríos, D. Francisco Cabrera, D. Luis Padilla, D. Xavier Elio, D. Juan Chrisóstomo Trelles ,.D. Cárlos Montero, D. Vicente Martínez, D. Pedro Grimarest, D. Alonso Valdes y D. Alexandro O</t>
  </si>
  <si>
    <t>de Losada y Quiroga, Joseph Manuel</t>
  </si>
  <si>
    <t>Joseph Manuel de Losada y Quiroga</t>
  </si>
  <si>
    <t>igual empleo.del de Betanzos al Marques de Almeyras, Coronel del tic Mondoñedo: para esta resulta á D. Joseph Manuel de Losada y Quiroga, Teniente Coronel agregado ai de Lugo; y ha conferido Sub</t>
  </si>
  <si>
    <t>de Losas, Manuel María</t>
  </si>
  <si>
    <t>Manuel María de Losas</t>
  </si>
  <si>
    <t>s al Capitán D. Antolin Reguilon, Ayudante del mismo cuerpo; y en el de cazadores de Villaviciosa á D. Manuel María de Losas, Teniente del de húsares de Numancia. El bergantín de la Real armada nombrado el Cazador, destinado al servicio dé Correos, ha arribado al puerto de Vares, en Galicia, con corresp</t>
  </si>
  <si>
    <t>de Ludolph, Conde</t>
  </si>
  <si>
    <t>Conde de Ludolph</t>
  </si>
  <si>
    <t>e aquí para Petersburgo el 21 del corriente; y el 25 se embarcó para Ñapóles el Conde de Ludolph, Ministro de S. M. Siciliana. Berlín 26 de Abril. E 1 viage que S. M. se propone hacer, se verificará inmediatamente después de las revistas; pero no se sabe adonde se dirige---- .El célebr</t>
  </si>
  <si>
    <t>de Lué y Riega, Benito</t>
  </si>
  <si>
    <t>Benito de Lué y Riega</t>
  </si>
  <si>
    <t>x Ximenez y Roxas:'para el Denato , primera silla de la catedral de Lugo , vacante por promoción de D. Benito de Lué y Riega á la Iglesia y Obispado de Buenos-Ayres, á D. Antonio de Lence, con retención ae la Canongía que goza en la misma catedral: para la Canongía de la catedral de Astorga , vacante po</t>
  </si>
  <si>
    <t>de Luque, Gerónimo</t>
  </si>
  <si>
    <t>Gerónimo de Luque</t>
  </si>
  <si>
    <t>zadores de Sagunto al Ayudante D. Antonio Castañeda ; y á Alférez en el de Villaviciosa al Sargento D. Gerónimo de Luque. Asimismo se ha dignado S. M. conferir Compañía en el regimiento de húsares de Olivencia á D. Luiz González, Capitán agregado al propio cuerpo. El Rey se ha servido promover á Cap</t>
  </si>
  <si>
    <t>de Luzarraga Portuondo, Domingo Antonio</t>
  </si>
  <si>
    <t>Domingo Antonio de Luzarraga Portuondo</t>
  </si>
  <si>
    <t>s ó extraños 10 rs. mensuales: los que aspirasen á dicho magisterio podrán dirigir sus memoriales á D. Domingo Antonio de Luzarraga Portuondo, ó D. Francisco de Aranguren, comisionados y resid entea en la misma Villa , en el término de un mes desée la fecha. En el lugar de Nambroca, á 2 leguas de Toledo , se halla vacan</t>
  </si>
  <si>
    <t>de Macanaz, Melchor Rafael</t>
  </si>
  <si>
    <t>Melchor Rafael de Macanaz</t>
  </si>
  <si>
    <t>crítica de la Inquisición. = Auxilios para bien gobernar una monarquía católica : obras del célebre D. Melchor Rafael de Macanaz : dadas á luz por D. Antonio Valladares de Sotonvayor. Se hallarán en k librería de Escribano, calle de las Carretas. Economía de la vida humana,, corregida y aumentada con la oda</t>
  </si>
  <si>
    <t>de Malluquiza, Martín</t>
  </si>
  <si>
    <t>Martín de Malluquiza</t>
  </si>
  <si>
    <t>on muy buenos comestibles á precios moderados, ha vacado la plaza de cirujano-médico, por muerte de D. Martin de Malluquiza que Ja sirvió 32 años: tiene de renta anual 5$) rs. en efectivo y otros percances propios de su facultad. El que quisiere pretender esta plaza acuda á D. Antonio María de Llano, S</t>
  </si>
  <si>
    <t>de Manuel y Rodríguez, Miguel</t>
  </si>
  <si>
    <t>Miguel de Manuel y Rodríguez</t>
  </si>
  <si>
    <t>Costa, eñ el término de 20 dias. , Memorias para la vida del Sto. Rey D. Fernando, dadas á luz por D. Miguel de Manuel y Rodríguez, Bibliotecario primero de Jos Reales estudios de Madrid, quien las dedica á la Reyná Ntra. Sra., que Dios guarde. El nombre del P. Marcos Burriel, autor de estas Memorias, y las d</t>
  </si>
  <si>
    <t>lle de las Carretas: su precio 5 rs. Memorias para la vida del Sto. Rey D. Femando, dadas á luz por D. Miguel de Manuel y Rodríguez , Bibliotecario primero de los Reales estudios de Madrid, quien las dedica á la -Reyna nuestra Señora, que Dios guardfc. El nombre del P." Marcos Burriel, autor de estas Memorias,</t>
  </si>
  <si>
    <t>de March, Joseph Ignacio</t>
  </si>
  <si>
    <t>Joseph Ignacio de March</t>
  </si>
  <si>
    <t>S. M. se ha dignado conferir el regimiento de Húsares Voluntarios al Coronel D. Joseph Ignacio de March, Teniente Coronel del de cazadores del Rey. An América. En el regimiento de infantería de la Havana se ha serado el Rey promover á Capitán de granaderos al de fusileros, graduado de Tenient</t>
  </si>
  <si>
    <t>de Mata Araujo, Luis</t>
  </si>
  <si>
    <t>Luis de Mata Araujo</t>
  </si>
  <si>
    <t>teligencia de los autores clásicos, con que se completa el breve y metódico curso de gramática, por D. Luis de Mata Araujo, maestro de latinidad en esta corte : un tomo en 8.° Se hallará en la librería de Baylo, calle de las Carretas, á 5 rs. en pergamino y 7 en pasta. ’* Tomo 2.0 y último de la Expos</t>
  </si>
  <si>
    <t>de Mayendia, Domingo</t>
  </si>
  <si>
    <t>Domingo de Mayendia</t>
  </si>
  <si>
    <t>del Consejo supremo de Hacienda. En la Administración general de las aduanas de Galicia,al cargo de D. Domingo de Mayendia, se halla el duplicado del registro de los caudales y efectos que conducía de Buenos-Ayres la fragata correo de S. M. nombrada la Cantabria, del mando de D. Juan del Busto, que á</t>
  </si>
  <si>
    <t>de Mazarrasa, Joseph</t>
  </si>
  <si>
    <t>Joseph de Mazarrasa</t>
  </si>
  <si>
    <t>ir en el regimiento de infantería de Africa el empleo de Ayudante al Teniente, graduado de Capitán, D. Joseph de Mazarrasa: en el de Zamora el empleo de Ayudante al Teniente* con grado de Capitán, D. Joseph Corral; y.Subtenencia de-bandera al Sargento primero de granaderos D. Bernardo Fernandez: en el</t>
  </si>
  <si>
    <t>de Meglioriny, Juan</t>
  </si>
  <si>
    <t>Juan de Meglioriny</t>
  </si>
  <si>
    <t>, graduado de Capitán., D. Manuel Matoneen el de Ultonia Compañía ai.Ayudante, graduado de Capitán, D. Juan de Meglioriny: en el de voluntarios de la Corona Tenencias á los Subtenientes D, Juan Arsac y D. Mariano Castelt en el primer batallón de voluntarios de Cataluña empleo do. segundo Capitán al s</t>
  </si>
  <si>
    <t>de Mendiburu, Matías</t>
  </si>
  <si>
    <t>Matías de Mendiburu</t>
  </si>
  <si>
    <t>hallará á 6§ rs, en el despacho de la imprenta Real. Con fecha de 14 de Octubre de este año remitió D. Matías de Mendiburu, del comercio de Cádiz, endosados á D. Joseph Xavier de Aramburu, del de S. Sebastian, dos vales Reales de 150 pesos, creación de i.° d.eEnero, números 333296 y 294885; y habiéndo</t>
  </si>
  <si>
    <t>de Mendoza y Ríos, Joseph</t>
  </si>
  <si>
    <t>Joseph de Mendoza y Ríos</t>
  </si>
  <si>
    <t>Rs. vr». Rs. pita. Tratado de navegación, por D. Joseph de Mendoza y Ríos: dos.tomos en rústica.............................. ............... y2. 46. Memoria sobre las observaciones de latitud y longitud en el mar, por D. Dionisio Alcalá Galiano, Brigad</t>
  </si>
  <si>
    <t>de Mendoza y Rios, Joseph</t>
  </si>
  <si>
    <t>Joseph de Mendoza y Rios</t>
  </si>
  <si>
    <t>n en los mares de Java, no puede menos de ser peligroso. La Secretaría de Longitudes ha concedido á D. Joseph de Mendoza y Rios, individuo de la Sociedad Real, la suma de 700 libras esterlinas para que pueda imprimir las tablas que tiene calculadas, y vendiéndose á precio moderado sin detrimento de ios int</t>
  </si>
  <si>
    <t>de Mendoza, Luis Joseph</t>
  </si>
  <si>
    <t>Luis Joseph de Mendoza</t>
  </si>
  <si>
    <t>¿ D. Joseph Corníde y Pardo : para otra Ración de la catedral de Badajoz, vacante por promoción de D. Luis Joseph de Mendoza a la Dignidad deChantre de la misma catedral, aD.Manuel de Silva y Ayans: para otra Ración de la colegial de Bribiesca, en la diócesis de Burgos, vacante por promoción de D. Manue</t>
  </si>
  <si>
    <t>de Meneses, Manuel</t>
  </si>
  <si>
    <t>Manuel de Meneses</t>
  </si>
  <si>
    <t>o conceder en el regimiento de infantería Inmemorial del Rey Tenencias al Subteniente de granaderos D. Manuel de Meneses, y al Teniente de granaderos del provincial de Pontevedra Doa Domingo Artazo. En América. En el regimiento de infantería de la Corona fixo de Nueva España se ha servido el Rey pro</t>
  </si>
  <si>
    <t>de Michelena, Ignacio</t>
  </si>
  <si>
    <t>Ignacio de Michelena</t>
  </si>
  <si>
    <t>ón, compuesto por el Excmo. Sr. Conde de Grajal, que nuevamente publica aumentado con algunas notas D. Ignacio de Michelena , Maestrante de la Real de Ronda: cuya edición está dedicada al Príncipe Ntro. Sr. ; un tomo en 8.° Se hallará en la librería de Illescas, calle ancha de Majaderitos , á 1 2 rs. e</t>
  </si>
  <si>
    <t>de Miedes, Manuel</t>
  </si>
  <si>
    <t>Manuel de Miedes</t>
  </si>
  <si>
    <t>regorio del Castillo: la del de Valencia al Capitán del de Cantabria, graduado de Teniente Coronel, D. Manuel de Miedes: la del de Zaragoza al Capitán primero del batallón de Voluntarios de Gerona, graduado de Teniente Coronel, D. Manuel Armengol: la del de España al Capitán del de Zara-' goza, gra</t>
  </si>
  <si>
    <t>de Mimatriti, Miguel</t>
  </si>
  <si>
    <t>Miguel de Mimatriti</t>
  </si>
  <si>
    <t>., y dan por ella 37,800 y?. en vales Reales. Quien quisiere hacer mejora acuda arfenel SrvAlcatüta D. Miguel de Mimatriti y por la escribe*' nía dé:provine»» de D» Miguel Joseph Garpa de la Madrid. Cántico el mas sublim^dc la Escritura, «'Cántico de Cánticos de Salomen,expiteado según elsentir de lóf s</t>
  </si>
  <si>
    <t>de Miranda, Antonio</t>
  </si>
  <si>
    <t>Antonio de Miranda</t>
  </si>
  <si>
    <t>Subteniente de granaderos D. Antonio de Soto: en el de Zaragoza á Subteniente de bandera al Cadete D. Antonio de Miranda: en el de Murcia á Teniente al Subteniente de granaderos D. Dámaso de Vargas ; y á Subtenientes dé bandera al Subteniente reformado de Milicias D. Manuel María dePeñafedonda, y ai</t>
  </si>
  <si>
    <t>de Módena y Lambertos, Nicolás</t>
  </si>
  <si>
    <t>Nicolás de Módena y Lambertos</t>
  </si>
  <si>
    <t>las armas Reales sobre las puertas de su fábrica y almacenes. El Consulado de Alicante dispuso que D. Nicolás de Módena y Lambertos, primer Piloto retirado del numero de la Real Armada, y primer maestro director de la escuela náutica, establecida por Real orden el 4 de Mayo de 1799» le informase acerca de los</t>
  </si>
  <si>
    <t>de Molina, Francisco Xavier</t>
  </si>
  <si>
    <t>Francisco Xavier de Molina</t>
  </si>
  <si>
    <t>ey se ha servido nombrar para la Canongía de la catedral de Cartagena, vacante por fallecimiento de D. Francisco Xavier de Molina ¿.á D. Juan Bautista Navarro y Pont: para un Beneficio de la parroquial de la villa del Carpió, en la diócesis de Córdoba, vacante por muerte de D. Cárlos Saveli Spínola, á D. Fél</t>
  </si>
  <si>
    <t>de Molina, Matías</t>
  </si>
  <si>
    <t>Matías de Molina</t>
  </si>
  <si>
    <t>os tantos motivos que han hecho sentir su pérdida generalmente. . Los herederos ó testamentarios de D. Matías de Molina, último arrendatario que fué en la ciudad de Soria de la renta del xabon, de lo que entraba de Aragón en Castilla por aquella frontera y provincia, y terminó en el año de 1780, ac</t>
  </si>
  <si>
    <t>de Mollinedo y Villav, Tomás</t>
  </si>
  <si>
    <t>Tomás de Mollinedo y Villav</t>
  </si>
  <si>
    <t>aldía mayor de Su-* thitepeques, en el Reyno de Goatemala, vacante por renuncia de D.Tadeo Cerda, á D. Tomas de Mollinedo y Villav ¡cencío-. En atención al particular mérito que ha contrahido D. Pablo Perez del Rosal, director de la fábrica de Paterna, en restablecer en España la fa*» bricacion de la boneterí</t>
  </si>
  <si>
    <t>de Monsegur y Bourman, Manuel</t>
  </si>
  <si>
    <t>Manuel de Monsegur y Bourman</t>
  </si>
  <si>
    <t>leon, en el arzobispado de Sevir lia, vacante por renuncia que ha hecho de ella D. Félix Bourman, á Don Manuel de Monsegur y Bourman; y para una Capellanía de la Real capilla de Señores Reyes nuevos de la ciudad de Toledo á D. Juan Francisco García Alcázar. En el regimiento de infantería de Soria se ha servido</t>
  </si>
  <si>
    <t>de Montalbo, Dionisio María</t>
  </si>
  <si>
    <t>Dionisio María de Montalbo</t>
  </si>
  <si>
    <t>de Asturias. . Asimismo ha nombrado S. M. para el Corregimiento de letras déla ciudad de Patencia á D. Dionisio María de Montalbo: para el de la de Velez-Málaga á D. Ignacio Noriega y Robredo: para el de la villa de Requena á D.Joseph Reyg y Ferie j y para el de la de Ponferrada á Don Joseph Melitcn de Navas</t>
  </si>
  <si>
    <t>de Montgelas, Barón</t>
  </si>
  <si>
    <t>Barón de Montgelas</t>
  </si>
  <si>
    <t>a Dieta los objetos en que esta tenia que entender. .Francfort iG de Julio. E 1 Barón de Montgelas , Ministro del Elector de Baviera , y que tiene toda la confianza de este Príncipe, llegó el 9 de este mes á Anspach, donde se halla Mr. de Hardenberg, Ministro director del Rey de Prusia,</t>
  </si>
  <si>
    <t>de Morales de la Intendencia, Juan</t>
  </si>
  <si>
    <t>Juan de Morales de la Intendencia</t>
  </si>
  <si>
    <t>a militar de Segovia, y merecido la correspondiente aprobación. El Rey ha venido en exónerar al Sr. D. Juan de Morales de la Intendencia de la provincia de Madrid que servia , Corregimiento , Superintendencia de Sisas y demas que la están unidos , concediéndole en atención á sus distinguidos servicios plaza efectiva de M</t>
  </si>
  <si>
    <t>de Morales y Palma, Sebastián</t>
  </si>
  <si>
    <t>Sebastián de Morales y Palma</t>
  </si>
  <si>
    <t>rimero en un espacioso y decente edificio , que á este objeto construyó íntegramente á sus expensas Don Sebastian de Morales y Palma, vecino de la expresada villa, por cuyo recomendable zelo patriótico se dignó el Consejo significarle su gratitud-, mandando que en su nombre se le diesen, como se le han dado por</t>
  </si>
  <si>
    <t>de Morera, Sebastián</t>
  </si>
  <si>
    <t>Sebastián de Morera</t>
  </si>
  <si>
    <t>Martínez y Gómez, discípulo del primer catedrático D. Sebastian de Morera, se distinguió particularmente por la inteligencia y claridad con que contestó;á las( pregunias que por ios profesores se le hicieron en aritmética, álgebra, geometría y trigonome</t>
  </si>
  <si>
    <t>de Moría, Tomás</t>
  </si>
  <si>
    <t>Tomás de Moría</t>
  </si>
  <si>
    <t>á sus méritos. Colección de 119 láminas pertenecientes al tratado de Artillería que escribió «1 Sr. D. Tomas de Moría, grabadas por los profesores mas hábiles de esta corte, acompañadas de un índice que manifiesta las piezas de artillería, armas, municiones, carruages, edificios y demas represent</t>
  </si>
  <si>
    <t>de Mosquera y Figueroa, Joaquín</t>
  </si>
  <si>
    <t>Joaquín de Mosquera y Figueroa</t>
  </si>
  <si>
    <t>Oidor de la Real Audiencia dé México , vacante por fallecimiento de D. Manuel Joseph de Urrutia , á D. Joaquín de Mosquera y Figueroa , Alcalde del crimen de la misma Audiencia. , Quien quisiere comprar una casa sita en la calle de la Montera, núm. 39, manz. api , que tiene 701 2 pies de sitio, valuada en 433,10</t>
  </si>
  <si>
    <t>de Moya, Joseph</t>
  </si>
  <si>
    <t>Joseph de Moya</t>
  </si>
  <si>
    <t>grado de Capitán D. Columbano Cabrera; y en el de Saboya Tenencias á los Subtenientes de granaderos D. Joseph de Moya y D. Bernardo Villa. Habiendo manifestado los caballeros Cadetes del Real cuerpo de Artillería en los últimos exámenes celebrados en el colegio militar de Segovia, su constante aprove</t>
  </si>
  <si>
    <t>de Muesas, Joseph María</t>
  </si>
  <si>
    <t>Joseph María de Muesas</t>
  </si>
  <si>
    <t>llón al Sargento mayor del segundo batallón de Voluntarios de Aragón, graduado de Teniente Coronel, D. Joseph María de Muesas; y en el de Voluntarios de Castilla Tenencia al Subteniente D. Ramón .López. Atendiendo el Rey á los méritos y servicios de D. Crisanto López, Tesorero del Real sitio de Aranjuez,</t>
  </si>
  <si>
    <t>de Muro, Manuel</t>
  </si>
  <si>
    <t>Manuel de Muro</t>
  </si>
  <si>
    <t>gones de América, fixo de la Havana, se ha servido nombrar el Rey al Capitán D. Manuel de Muro, Teniente del regimiento de caballería de Algarve, noveno de línea.</t>
  </si>
  <si>
    <t>de Nafria, Ramón</t>
  </si>
  <si>
    <t>Ramón de Nafria</t>
  </si>
  <si>
    <t>e aquel obispado: f&gt;ara otra de la de Os uva, vacante por fallecimiento de D. Bernardo de Torres, á D. Ramón de Nafria, Cura de la parroquial del lugar de Recuerda, en la misma diócesis: para otra de la misma de Osma, vacante por muerte de D.Juan Simón, á D. Juan Aparicio y Crespo, Gura de la parr</t>
  </si>
  <si>
    <t>de Nava, Domingo</t>
  </si>
  <si>
    <t>Domingo de Nava</t>
  </si>
  <si>
    <t>ición que detuvo á S. A. en Cartagena. La esquadra del mando del Teniente General de la Real armada Don Domingo de Nava, en que los Sres. Reyes de Etruria se trasladaron desde Cartagena á Liorna, ha vuelto en 9 dias desde este puerto al de Cartagena, .donde entró el dia i.° de este mes. Él Rey se h</t>
  </si>
  <si>
    <t>de Navarrete y Sánchez, Félix</t>
  </si>
  <si>
    <t>Félix de Navarrete y Sánchez</t>
  </si>
  <si>
    <t>presidieron por nombramiento del caballero Gobernador los Licenciados D. Francisco de Paula Rosado, D. Félix de Navarrete y Sánchez , y el Dr. p. Francisco Xavier de Tapia, individuos del ilustre colegio de Abogados de esta ciudad : en ellos acreditaron los alumnos su inteligencia en los dogmas católicos : lee</t>
  </si>
  <si>
    <t>de Navarro, Pedro Joseph</t>
  </si>
  <si>
    <t>Pedro Joseph de Navarro</t>
  </si>
  <si>
    <t>Doña Catalina Antonia de Navarro , que falleció en dicha ciudad el 6 de Marzo de dicho año,hija de D. Pedro Joseph de Navarro, y nieta de D. Francisco Antonio Navarro, Mayor General que fué al servicio de la casa de AustriaJ y Gobernador que también fué de la referida ciudad de Malinas, viuda de D. Danie</t>
  </si>
  <si>
    <t>de Neyra, Joseph Manuel</t>
  </si>
  <si>
    <t>Joseph Manuel de Neyra</t>
  </si>
  <si>
    <t>las Quatro Villas, en la isla de Cuba, se ha servido el Rey promover á Capitanes á los Subtenientes D. Joseph Manuel de Neyra , de granaderos , y Don Juan Joseph Ximenez^ á Subteniente de granaderos al de fusileros Don Joseph Sauri, y á Subtenientes de bandera á los Cadetes D. Francisco María Gallo y D.</t>
  </si>
  <si>
    <t>de Oca y Armijo, Diego Manuel</t>
  </si>
  <si>
    <t>Diego Manuel de Oca y Armijo</t>
  </si>
  <si>
    <t>de la Peña y Benítez, D. Joseph María Segovia, D. Serafín María López, D. Andrés Martin y Galindez, D. Diego Manuel de Oca y Armijo, D. Antonio Fernandez Gamonal y D. Fernando Velasco y Cartillo. ..... En América. S. M. se ha dignado promover á Alféreces del regimiento de dragones de Buenos-Ayres á los graduad</t>
  </si>
  <si>
    <t>de Ochoa, Miguel</t>
  </si>
  <si>
    <t>Miguel de Ochoa</t>
  </si>
  <si>
    <t>ncisco Ru iz Pinto ; y para la Canongía de la metropolitana de Toledo, vacante por fallecimiento de D. Miguel de Ochoa, á D. Francisco de Teran y Obregon. S. M. se ha servido conferir el empteo de Coronel del regimiento de infantería de Córdoba al Teniente Coronel del de infantería de Sevilla, gra</t>
  </si>
  <si>
    <t>de Olanrte, Manuel Simón</t>
  </si>
  <si>
    <t>Manuel Simón de Olanrte</t>
  </si>
  <si>
    <t>Dignidad de Abad del Asei, en la catedral de CuencF, vaéáñté por muerte de D. Miguel de Iguarra, á D. Manuel Simón de Olanrte r para la Dignidad de Maestrescuela de la catedral de Canaria, vadahté ^pot promoción de D. Luis de la Encina á la de Arcediano titular, á D/Ahcires Árveto Britot para una Canongí</t>
  </si>
  <si>
    <t>de Oliveros, Manuel</t>
  </si>
  <si>
    <t>Manuel de Oliveros</t>
  </si>
  <si>
    <t>á Don Joaquin Ximeno: para la Dignidad de Chantre de la catedral de Badajoz, vacante por muerte de D. Manuel de Oliveros, á D. García de Mendoza, y Rocha: para una Canongía de la metropolitana de Tarragona á D. Domingo Sala: para la Canongía Doctoral de la catedral de Solsona, vacanfe por fallecimie</t>
  </si>
  <si>
    <t>de Olmedo y Araciel, Juan de Dios</t>
  </si>
  <si>
    <t>Juan de Dios de Olmedo y Araciel</t>
  </si>
  <si>
    <t>lo, á D. Joseph Ortiz de la Peña, Chantre de la misma catedral; para esta Dignidad ¿1 Maestrescuela D. Juan de Dios de Olmedo y Araciel; para la Maestrescolía al Tesorero D. Juan Vicente Bernál Bejaránoy y paira la Tesorería al Canónigo Lectoral Di Joseph de España y Villéla. Asimismo se ha servido S. M. nombrar p</t>
  </si>
  <si>
    <t>de Ooertz, Conde</t>
  </si>
  <si>
    <t>Conde de Ooertz</t>
  </si>
  <si>
    <t>e Wirtemberg y de HesseC as sel declararon que adherían en todo a los votos del Conde de Ooertz, Ministro de Brandenbourg. Después de lo qual se hizo el siguiente acuerdo : „ Que la última nota de los Ministros de las potencias mediadoras se comunique á la Dieta para añadirla como sup</t>
  </si>
  <si>
    <t>de Oqueodo, Joaquín</t>
  </si>
  <si>
    <t>Joaquín de Oqueodo</t>
  </si>
  <si>
    <t>eco. ¿n 12 de Diciembre de 1802 falleció en La plaza de Barcelona, de edad de &lt;4 años,el Excmo. Sr. D. Joaquín de Oqueodo, Comendador de Portezuelo en la orden de Alcántara, y Teniente General de ios Reales</t>
  </si>
  <si>
    <t>de Orbe Earreátegui, Pedro</t>
  </si>
  <si>
    <t>Pedro de Orbe Earreátegui</t>
  </si>
  <si>
    <t>rancisco Enciso: para la de la catedral de Guadix, vacante por muerte de D. Pedro Joseph Sánchez, á D. Pedro de Orbe Earreátegui: para otra de la de Málaga, vacante por la promoción de D. Juan de Castañeda al Arcedianato de Alicante, Dignidad de la de Orihuela, á D. Joseph María Swerts y Ayala: para otra Ra</t>
  </si>
  <si>
    <t>de Orta, Bernardo</t>
  </si>
  <si>
    <t>Bernardo de Orta</t>
  </si>
  <si>
    <t>................. 8. 7. Plano del puerto de Veracruz en la costa occidental del seno Mexicano,, por D. Bernardo de Orta, Capitán de Navio graduado de la Real Armada y de dicho puerto, año de 1798................................ 6. 5. Plano del puerto y ciudad de la Havana, levantado por E&gt;. Joseph</t>
  </si>
  <si>
    <t>de Ortega y Monroy, Joseph</t>
  </si>
  <si>
    <t>Joseph de Ortega y Monroy</t>
  </si>
  <si>
    <t>1 Rey se ha servido nombrar para la Canongía de la catedral de Málaga, vacante por la promoción de D. Joseph de Ortega y Monroy al Arcedianato de Velez, dignidad de la misma iglesia, á D. Joseph Antonio de Priego. En el regimiento de Reales Guardias Walonas se ha servido promover el Rey á primer Ayudante m</t>
  </si>
  <si>
    <t>de Ortega, Francisco Xavier</t>
  </si>
  <si>
    <t>Francisco Xavier de Ortega</t>
  </si>
  <si>
    <t>uración, comenzando por los caballos y concluyendo con los burros, con otras notas útiles: su autor D. Francisco Xavier de Ortega, dependiente de las Reales caballerizas : un tomito en 4.0 Se hallará en la librería de Hurtado , calle de las Carretas. Verdadera idea de la sociedad civil, gobierno y soberanía</t>
  </si>
  <si>
    <t>de Oses, Manuel</t>
  </si>
  <si>
    <t>Manuel de Oses</t>
  </si>
  <si>
    <t>quia de S. Pedro de la villa de Puente la Reyna, obispado de Pamplona, vacante por fallecimiento de D. Manuel de Oses, á D. Pedro Josepn de Ichaso. En el regimiento de infantería de Saboya se ha servido promover el Rey á Ayudante al Teniente, graduado de Capitán, D. Joseph Lamar; y en el de infan</t>
  </si>
  <si>
    <t>de Osma, Juan</t>
  </si>
  <si>
    <t>Juan de Osma</t>
  </si>
  <si>
    <t>Tiburcio Francos; á los Capitanes primeros D. Mariano Breson y D. Juan Vcngoa, y al Capitán segundo D. Juan de Osma: a los Mayores de brigada de Ingenieros D. Juan Ordobas y D. Gabriel Moron; á los Capitanes primeros D. Joseph Torras y Pellicer y D. Antonio Agudo: á D. Ignacio Montilla, Capitán</t>
  </si>
  <si>
    <t>de Osta, Salvador</t>
  </si>
  <si>
    <t>Salvador de Osta</t>
  </si>
  <si>
    <t>Real cuerpo de Artillería se ha servido el Rey promover á Capitanes primeros á los de segunda clase D. Salvador de Osta y D. Juan de Molina; á Capitanes segundos á los Tenientes D. Gaspar Hermosa, p. Andrés del Rey, D. Christóbal Pomar y D. Joaquín Gómez, y k Tenientes á los Subtenientes D. Martin Zara</t>
  </si>
  <si>
    <t>de Otamendi, Manuel</t>
  </si>
  <si>
    <t>Manuel de Otamendi</t>
  </si>
  <si>
    <t>a servido nombrar para la Dignidad de Tesorero de la catedral de Cuba, vacante por fallecimiento de D. Manuel de Otamendi, á D. Joseph Vázquez , Tesorero electo de la de Sto. Domingo, Cura que fué de la villa de Daxabon en la misma isla. En la sala de Comendadoras de Calatrava de esta corte se tuvo e</t>
  </si>
  <si>
    <t>de Otero, Tomás</t>
  </si>
  <si>
    <t>Tomás de Otero</t>
  </si>
  <si>
    <t>e resumió los principales trabajos de la sociedad en el año pasador siguióse por el vice-secretario D. Tomas de Otero la lectura del extracto de actas de. este Real cuerpo, desde el dia 16 de Diciembre de 1801 , formado por el secretario D.. Francisco Peyrolon , quien no pudo asistir á la; junta- En</t>
  </si>
  <si>
    <t>de Otero, Tomás Domingo</t>
  </si>
  <si>
    <t>Tomás Domingo de Otero</t>
  </si>
  <si>
    <t>hortó y animó á la aplicación y ocupación en las tareas útiles de la Sociedad. Siguió el Secretario Don Tomas Domingo de Otero leyendo el Compendio de las actas de la Sociedad desde el dia 10 de Diciembre del año anterior , en que se celebró la última junta pública, hasta el 7 de este mesr publicó un prem</t>
  </si>
  <si>
    <t>de Oyarvide, Andrés</t>
  </si>
  <si>
    <t>Andrés de Oyarvide</t>
  </si>
  <si>
    <t>conocimiento exacto de su sonda, hay destinados dos buques menores, al cargo del Alférez de Fragata D. Andrés de Oyarvide, Al Capitán de Navio D. Joaquín Francisco Fidalgole está prevenido que á su regreso de Cartagena de Indias busque y sitúe exactamente los baxos que hacen cuidadosa la navegación d</t>
  </si>
  <si>
    <t>de Oyarzabal, Luis</t>
  </si>
  <si>
    <t>Luis de Oyarzabal</t>
  </si>
  <si>
    <t>Murcia la Comandancia del tercer batallón al Sargento mayor deLde Granaderos Voluntarios de Estado. D. Luis de Oyarzabal; el empleo de Sargento ma^or al Capitán de granaderos del de Cantabria, graduado de Teniente Coronel , D. Joaquín Colas, y Tenencia al Subteniente D. Lúeas Belmar: en el de León e</t>
  </si>
  <si>
    <t>de Ozores, Manuel</t>
  </si>
  <si>
    <t>Manuel de Ozores</t>
  </si>
  <si>
    <t>Burgos............D. Andrés Fray le. En Cádiz........ . D. Benito de la Piedra. En Cartagena.......D. Manuel de Ozores. En Ciudad-Real... D. Ramón Antonio Pico*</t>
  </si>
  <si>
    <t>o. En Burgos........ . D. Andrés Frayle. En Cádiz...... D. Benito de la Piedra. En Cartagena........D. Manuel de Ozores. En Ciudad-Real... D. Ramón Antonio Pico. En Córdoba...........Sres. Barcia padre é hijo. En la Coruña........ D. Manuel Antonio Elzaurd?. En Cuenca............. Viuda de Escolar</t>
  </si>
  <si>
    <t>...........D. Andrés Fray le. En Cádiz................ D. Benito de la Piedra. En Cartagena........ D. Manuel de Ozores. En Ciudad-Real.,. D. Ramón Antonio Pico. En Córdoba............ Sres. Barcia padre é hijo. En la Coruña.........D. Manuel Antonio Elzaurdi. En Cuenca.............. Viuda de Escol</t>
  </si>
  <si>
    <t>de Ozta y Cotera, Sebastián</t>
  </si>
  <si>
    <t>Sebastián de Ozta y Cotera</t>
  </si>
  <si>
    <t>á Tenientes á los Alféreces D. Nicolás Galindo y D. Gabriel Rringas; á Alféreces á los Portaguiones D. Sebastian de Ozta y Cotera, D. Ignacio Millan y D. Francisco Lozada, y á Portaguiones á los Cadetes D. Domingo Savariego, y D. loaquin Náxera y al Sargento D. Francisco Rodríguez.</t>
  </si>
  <si>
    <t>de Padua, Antonio</t>
  </si>
  <si>
    <t>Antonio de Padua</t>
  </si>
  <si>
    <t>n paz con los hombres , extractado de los Ensayos morales del célebre Pedro Nicole por el limo. Sr. D. Antonio de Padua, Obispo de Marañon, traducida del portugués. Esta obrita , que respira los mas puros sentimientos religiosos, es un tratado completo de filosofía moral, muy propia para conservar</t>
  </si>
  <si>
    <t>de Pahnenberg, Barón</t>
  </si>
  <si>
    <t>Barón de Pahnenberg</t>
  </si>
  <si>
    <t>egio de los Príncipes con un voto. Otra' carta dirigida á la misma Dieta por el Barón de Pahnenberg, Ministro de Austria, contiene la misma petición para el Príncipe de Khevénhuller. _Nó' han llegado á un á esta ciudad S. E. el co-Comisario imperial , ni el Ministro Electoral dé^Bohemia!^</t>
  </si>
  <si>
    <t>de Palacios, Joaquín María</t>
  </si>
  <si>
    <t>Joaquín María de Palacios</t>
  </si>
  <si>
    <t>ción al estudio del Derecho patrio según el espíritu de la Real orden de 5 de Octubre de i8o;2,.por D. Joaquín María de Palacios, Catedrático de Prima de Leyes en la Universidad de Huesca. Esta pequeña obra, que siguiendo el plan trazado por el gobierno es el primer paso que se ha dado en este estudio, pres</t>
  </si>
  <si>
    <t>de Palafox, Juan</t>
  </si>
  <si>
    <t>Juan de Palafox</t>
  </si>
  <si>
    <t>mo. Sr. Arzobispo de la Plata, á real y medio.:= Varios tomos en folio menor de las obras del V. Sr.D. Juan de Palafox. = Los tomos 3.® y 4.0 de Cartas de Sta. Teresa de Jesús: en 4.0 marquilla, 30 rs. en papel, 36 en pergamino y 44 en pasta.mVida del limo. Valero, Arzobispo de Toledo*, un tomo en</t>
  </si>
  <si>
    <t>de Palomares, Francisco Xavier</t>
  </si>
  <si>
    <t>Francisco Xavier de Palomares</t>
  </si>
  <si>
    <t>ndo al primero con un exemplar de la obra de D. Torquat© Torio de la Riva, y al segundo con otro de Don Francisco Xavier de Palomares, cuyos premios recibieron de mano del Protector Presidente. Y á D. Manuel Arias y D. Francisco Leocadio de Zazo, que también se han distinguido en los presentes exercicios, y que</t>
  </si>
  <si>
    <t>de Pastors y de Mercader, Joseph</t>
  </si>
  <si>
    <t>Joseph de Pastors y de Mercader</t>
  </si>
  <si>
    <t>y deCaramany , se le dieron los nombres de Joaquín, Narciso y Joseph; y al segundo, de quien lo fué D. Joseph de Pastors y de Mercader , los de Damian, Joseph y Narciso. En seguida se celebró un» misa privada con música, la que acabada prosiguió el Te Deum vque entonó el celebrante; á cuyos actos asistieron los n</t>
  </si>
  <si>
    <t>de Paula Antonio María, Francisco</t>
  </si>
  <si>
    <t>Francisco de Paula Antonio María</t>
  </si>
  <si>
    <t>rior se vistió la corte de gala en el Real sitio de Aranjuez con motivo de los dias del Sr. Infante.D. Francisco de Paula Antonio María, hijo tercero del Rey. El Rey se ha servido nombrar para el Arcedianato de Alicante, Dig-. nidad de la catedral de Orihuela, vacante por fallecimiento de D. Francisco Ignacio del</t>
  </si>
  <si>
    <t>de Paula Espinosa de los Monteros, Francisco</t>
  </si>
  <si>
    <t>Francisco de Paula Espinosa de los Monteros</t>
  </si>
  <si>
    <t>ta María, D. Francisco Gil de Bernabé, D. Antonio Vázquez de Aldana y del Aguila, D. Diego Estrada, D. Francisco de Paula Espinosa de los Monteros y D. Gabriel Narciso Pantoja. Y en los de infantería de Sabóya, Extremadura y Ordenes Militares, á los Cadetes del de Reales Guardias Walonas D. Luis de Eigueroa, D. Mateo Ponce de Le</t>
  </si>
  <si>
    <t>de Paula Fonseca y Montilla, Francisco</t>
  </si>
  <si>
    <t>Francisco de Paula Fonseca y Montilla</t>
  </si>
  <si>
    <t>, á D. Francisco Espada; y para una Capellanía de la Real capilla de Granada, vacante por muerte de Don Francisco de Paula Fonseca y Montilla, á D. Manuel Joseph Guillen, Director y Maestro de Matemáticas de los Caballeros Pages de S. M. En el regimiento de Reales Guardias Españolas se ha servido promover el Rey á Tenie</t>
  </si>
  <si>
    <t>de Paula Gómez Ruiz, Francisco</t>
  </si>
  <si>
    <t>Francisco de Paula Gómez Ruiz</t>
  </si>
  <si>
    <t>nte para nosotros mismos: los hombres fueron engendrados por causa de los hombres £cc.” su autor es D. Francisco de Paula Gómez Ruiz , Médico titular de la villa de Zahara, en Andalucía baxa, y en ella refiere la epidemia que afligió la ciudad de Cádiz</t>
  </si>
  <si>
    <t>de Paula Landa, Francisco</t>
  </si>
  <si>
    <t>Francisco de Paula Landa</t>
  </si>
  <si>
    <t>ros Voluntarios de Estado y Volúntanos de la Coiona, a los Cadetes del de Reales Guardias Españolas D. Francisco de Paula Landa, D. Joseph Angulo y Santa María, D. Francisco Gil de Bernabé, D. Antonio Vázquez de Aldana y del Aguila, D. Diego Estrada, D. Francisco de Paula Espinosa de los Monteros y D. Gabr</t>
  </si>
  <si>
    <t>de Paula Marimon, Francisco</t>
  </si>
  <si>
    <t>Francisco de Paula Marimon</t>
  </si>
  <si>
    <t>ardias Españolas se ha servido promover el Rey á Alféreces á los Cadetes D. Joseph Francisco Oribe, Don Francisco de Paula Marimon y D. Cayetano Carcer; y en el de Reales Guardias Walonas á Alféreces de granaderos á los de fusileros D. Manuel Cipriano de Xado y D. Agustin de Mena. Los tenedores de Vales dinero de</t>
  </si>
  <si>
    <t>de Paula Martí, Francisco</t>
  </si>
  <si>
    <t>Francisco de Paula Martí</t>
  </si>
  <si>
    <t>lecciones públicas y gratuitas, el dia i.° de Setiembre á las 4 de la tarde, por el maestro de ella D. Francisco de Paula Martí, y se continuarán todos los dias que no sean festivos á la misma hora. Los que quieran asistir como discípulos será útil que tengan algunos principios de gramática; pero indispens</t>
  </si>
  <si>
    <t>de Paula Rodríguez, Francisco</t>
  </si>
  <si>
    <t>Francisco de Paula Rodríguez</t>
  </si>
  <si>
    <t>latina, según la de D. Juan deTriarte, D. Cecilio Vicente Algarra y D. Joseph Alcaraz; en geografía D. Francisco de Paula Rodríguez y D. Manuel Garzón y Berruezo; en historia de España D. Ruperto def Pulgar, Teniente Capitán del regimiento de Ñapóles, y D. Francisco Cálvelo, y en poética y retórica D. Antonio Garr</t>
  </si>
  <si>
    <t>de Paula Rosado, Francisco</t>
  </si>
  <si>
    <t>Francisco de Paula Rosado</t>
  </si>
  <si>
    <t>e un lucido concurso, los que presidieron por nombramiento del caballero Gobernador los Licenciados D. Francisco de Paula Rosado, D. Félix de Navarrete y Sánchez , y el Dr. p. Francisco Xavier de Tapia, individuos del ilustre colegio de Abogados de esta ciudad : en ellos acreditaron los alumnos su inteligen</t>
  </si>
  <si>
    <t>de Paula Sanguineto, Francisco</t>
  </si>
  <si>
    <t>Francisco de Paula Sanguineto</t>
  </si>
  <si>
    <t>neficio simple de la parroquia de Alhama, en la diócesis de Cartagena, vacante por fallecimiento de D. Francisco de Paula Sanguineto, á D. Domingo de Iribe, con la obligación de enseñar lógica y filosofía moral en el seminario de Vergara. En el regimiento de Pavía, quarto de Cazadores, se ha servido promover el</t>
  </si>
  <si>
    <t>de Paula Somalo, Francisco</t>
  </si>
  <si>
    <t>Francisco de Paula Somalo</t>
  </si>
  <si>
    <t>los Cadetes D. Manuel Rodrigo, D. Francisco Joseph Celada, D. Martia Galáyn, D. Mariano Gri-I mau y D. Francisco de Paula Somalo,y á ios Sargentos primeros0.Manuel Sánchez, D. Antonio López y D. Juan Xará. Asimismo se ka servido S. M. nombrar para la Alcaldía mayor de Su-* thitepeques, en el Reyno de Goatem</t>
  </si>
  <si>
    <t>de Paula, Francisco</t>
  </si>
  <si>
    <t>Francisco de Paula</t>
  </si>
  <si>
    <t>ferencia propia de la amistad mas cordial.” La corbeta correo de la Real Armada nombrada el Infante D. Francisco de Paula, salió del puerto de Montevideo el 17 de Junio último, y fondeó en el de la Coruña igual dia del corriente mes de Setiembre,, con las correspondencias del Real servicio y del públ</t>
  </si>
  <si>
    <t>de Peña, Francisco</t>
  </si>
  <si>
    <t>Francisco de Peña</t>
  </si>
  <si>
    <t>. . . S. M. se ha servido nombrar para lajVara de Alcaide mayor de la villa de Fuente del Maestre á D. Francisco de Peña¿Medrano: para la de la villa de Azuaga á D. Diego Salcedo y Ortega, ámbas de segunda clase: para la de la de Castrotorafe á D. Pascual Alpuente : para la del Gobierno de la villa</t>
  </si>
  <si>
    <t>de Pía, Simón</t>
  </si>
  <si>
    <t>Simón de Pía</t>
  </si>
  <si>
    <t>fecha lo siguiente: ,, Accediendo el Rey á lo propuesto por V. E., se ha servido mandar devolver á D. Simón de Pía , D. Juan Manuel Romero y D. Manuel Vázquez los derechos de alcaydía, marchamo y tornaguía que se les han exigido de unos algodones de América conducidos con guia de Cádiz á S. Lú</t>
  </si>
  <si>
    <t>de Piña y RuÍ, Juan</t>
  </si>
  <si>
    <t>Juan de Piña y RuÍ</t>
  </si>
  <si>
    <t>del reyno. Se hallará á 2 rs. en el despacho de la imprenta Real. En virtud de providencia del Sr. D. Juan de Piña y RuÍ2, caballero profeso del .orden de Santiago, Regidor perpetuo de la ciudad de Murcia, é Intendente de los Reales exércitos con exercicio en, el de Castilla la nueva , dada ante D.</t>
  </si>
  <si>
    <t>de Pina y Ruiz, Juan</t>
  </si>
  <si>
    <t>Juan de Pina y Ruiz</t>
  </si>
  <si>
    <t>ones, baxo de las quales se ha de hacer el citado suministro, acudirán á la posada del referido Sr. D. Juan de Pina y Ruiz , que vive calle de la Salud, frente á la casa del Duque del Arco; en inteligencia de que dicho remate se ha de executar el sábado 26 del corriente , á las 9 en punto de su mañana</t>
  </si>
  <si>
    <t>de Piña y Ruiz, Juan</t>
  </si>
  <si>
    <t>Juan de Piña y Ruiz</t>
  </si>
  <si>
    <t>iciones : y á conseqííencia de Real orden, su fecha en Aranjuez jo deL corriente, ha mandado el Sr. D. Juan de Piña y Ruiz, caballero profeso dei orden de Santiago , Regidor perpetuo de la ciudad de Murcia, Intendente del exército de Castilla la Nueva, por su auto de 14 del mismo, proveído ante el Esc</t>
  </si>
  <si>
    <t>emas , y la de la Real armada , que se están subastando en virtud de Real orden, ha señalad® el Sr. D. Juan de Pina y Ruiz, caballero profeso del orden de Santiago, Regidor perpetuo de la ciudad de Murcia, Intendente de los Reales exercitos con exercicio en el de Castilla la Nueva, el viérnes 26 del p</t>
  </si>
  <si>
    <t>de Pina, Domingo</t>
  </si>
  <si>
    <t>Domingo de Pina</t>
  </si>
  <si>
    <t>apio de Varona, D. Pedro Batista y D. Ramón Gelabert, y á Subteniente de granaderos al de fusileros D. Domingo de Pina. También ha conferido S. M. ios empleos de Capitán, Teniente, Subteniente y Alférez de la compañía Urbana de caballería de la villa de Santo-Espíritu, en la misma isla, á Doní Nic</t>
  </si>
  <si>
    <t>de Pineda, Pedro Manuel</t>
  </si>
  <si>
    <t>Pedro Manuel de Pineda</t>
  </si>
  <si>
    <t>Caricas ha promovido S. M; á Capitán al Teniente D; Gabriel ¡dé Rada* ¿ Tenientes los Subtenientes D. Pedro Manuel de Pineda, de granaderos, D. Juan Joseph Vallenilla, D. Manuel Blanco y Dv Adrián Blanco; i Subteniente de granaderos al de fusileros D. Cornelia Blanco; á Subtenientes de fusileros y de ba</t>
  </si>
  <si>
    <t>de Pinera y Blanco, Joseph Manuel</t>
  </si>
  <si>
    <t>Joseph Manuel de Pinera y Blanco</t>
  </si>
  <si>
    <t>stamento quien ha de pagar. Habiendo salido de Ja ciudad de Santander hace años Joseph Manuel de Pinera y Blanco, hijo de Joseph y de María Blanco Fernandez, ya difuntos, no sabiendo su paradero , y teniendo que comunicarle asuntos que le interesan , se suplica i quien sepa de él se sirva dar avis</t>
  </si>
  <si>
    <t>de Plá, Simón</t>
  </si>
  <si>
    <t>Simón de Plá</t>
  </si>
  <si>
    <t>comercio de esta , que les acomode, ó á los fabricantes D. Juan Manuel Romero , D. Manuel Vázquez y'D. Simón de Plá , dando el competente tiempo para su apresto, si se pidiere cantidad de mucha consideración. La Sociedad, por su parte, dispondrá lo conveniente á fin de que se fabrique quanto se</t>
  </si>
  <si>
    <t>de Ponte, Benito</t>
  </si>
  <si>
    <t>Benito de Ponte</t>
  </si>
  <si>
    <t>ranada al de fusileros D. Joseph del Pulgar y Pulgar: á Tenientes de los de Santiago y Chinchilla á D. Benito de Ponte y D. Sebastian Velasco, Subtenientes de granaderos de los mismos; y ha nombrado Subtenientes de bandera de los de Sigiienza, Sevilla, Bujalance, Chinchilla y Cuenca á D. Francisco Jos</t>
  </si>
  <si>
    <t>de Porras, Manuel Rafael</t>
  </si>
  <si>
    <t>Manuel Rafael de Porras</t>
  </si>
  <si>
    <t>a una Canongía de merced de la santa iglesia de Ciudad Real de Chiapa, vacante por fallecimiento-de D. Manuel Rafael de Porras, á D. Manuel Mariano Chacón, Rector deí Seminario de dicha ciudad; y para una Media-Ración de la catedral de Santiago de Cuba, vacante por muerte de D. Francisco Antonio Castellan</t>
  </si>
  <si>
    <t>de Portugal, Antonio</t>
  </si>
  <si>
    <t>Antonio de Portugal</t>
  </si>
  <si>
    <t>20 rs. en pasta y 17 en pergamino. Salmos populares ó salmos de la confesión del Sermo. Sr. Infante D. Antonio de Portugal para pedir á Dios perdón de sus pecados. Se hallará juntamente con las Conferencias del Abad de la Trapa en la librería de Hurtado, calle de las Carretas, en el Real monasterio de</t>
  </si>
  <si>
    <t>de Poveda y Francisco Saiz Olmedilla, Joseph</t>
  </si>
  <si>
    <t>Joseph de Poveda y Francisco Saiz Olmedilla</t>
  </si>
  <si>
    <t>sos y religiosas Agustinas. Los pretendientes dirigirán sus memoriales á su Ayuntamiento, ó al Lie. D. Joseph de Poveda y Francisco Saiz Olmedilla , sus Alcaldes ordinarios. La Retórica epistolar, ó Arte nuevo de escribir todo género de cartas misivas y familiares, con exemplos de los autores mas célebres extrangeros y nacio</t>
  </si>
  <si>
    <t>de Priego, Joseph Antonio</t>
  </si>
  <si>
    <t>Joseph Antonio de Priego</t>
  </si>
  <si>
    <t>promoción de D. Joseph de Ortega y Monroy al Arcedianato de Velez, dignidad de la misma iglesia, á D. Joseph Antonio de Priego. En el regimiento de Reales Guardias Walonas se ha servido promover el Rey á primer Ayudante mayor al primer Teniente y segundo Ayudante D. Francisco de Hauregard; á segundo Ayuda</t>
  </si>
  <si>
    <t>de Puga, Juan</t>
  </si>
  <si>
    <t>Juan de Puga</t>
  </si>
  <si>
    <t>conceder, el empleo de Portaestandarte en el regimiento de caballería de Borbon al Sargento'primero D. Juan de Puga. Por el Ministerio de Hacienda seta comunicado con lecha dejo de Noviembre último la Real orden siguiente. , . El Rey quiere que continuando el pago que previenen los aranceles de</t>
  </si>
  <si>
    <t>de Quevedo Bustamante, Manuel</t>
  </si>
  <si>
    <t>Manuel de Quevedo Bustamante</t>
  </si>
  <si>
    <t>ad de Santander á D. Francisca de Sayús, Tesorero de propios y arbitrios de la misma, ó en Madrid á D. Manuel de Quevedo Bustamante, Secretario de la Subdelegacion d« imprentas y librería» del Reyno, que lo agradecerán. Casus conscientÍae,Benedicti xiv vulgo dicti, plurímis animad versionibus adn6tationibusque</t>
  </si>
  <si>
    <t>de Quevedo, Ramón</t>
  </si>
  <si>
    <t>Ramón de Quevedo</t>
  </si>
  <si>
    <t>ciprestazgo de C-ejanza , en el arzobispado de Burgos, vacante por muerte de D. Lorenzo Tabliega, á D. Ramón de Quevedo: para la Dignidad de Capiscol deja colegial de Cervatos, en la diócesis de Burgos, vacante por fallecimiento de D. Joseph Villalobos, á D. Juan Gómez de Ro-&gt; bles: para la Ración</t>
  </si>
  <si>
    <t>btenía en el lugar de Modubar de la Cuesta, en el arzobispado de Burgos, D. Francisco de Argueso, á D. Ramón de Quevedo: para el Préstamo de Matamorosa-vacante en la misma diócesis por muerte de D. Joseph Villalobos, á D. Juan Gómez Robles: para otro de Pesquera de Duero, en el obispado de Palencia</t>
  </si>
  <si>
    <t>de Quintana, Manuel Joseph</t>
  </si>
  <si>
    <t>Manuel Joseph de Quintana</t>
  </si>
  <si>
    <t>a Floraf Peruviana, y se hace análisis crítica de las. obras Gabinete de antigüedades y poesías -de D. Manuel Joseph de Quintana; y en el Teatro español de Ja comedia el Casamentero y de k ópera el Secreto. Noticias literarias' á¿ Rugéro Fíácop; y Real Cédula dé: 17 ¡de Diciembre de 1802 sobre que se vitard</t>
  </si>
  <si>
    <t>de Ramos, Antonio</t>
  </si>
  <si>
    <t>Antonio de Ramos</t>
  </si>
  <si>
    <t>tenientes de granaderos de los mismos cuerpos; y á Subteniente de bandera en el de Burgos al Cadete D. Antonio de Ramos. - • Asimismo se ha servido S. M. conferir Subtenencias de bandera en el regimiento de infantería de Africa ‘á los Cadetes D. Antonio Garzen de Sanjus y D. Antonio Malagon; y,en e</t>
  </si>
  <si>
    <t>de Rena y Sobral, Felipe</t>
  </si>
  <si>
    <t>Felipe de Rena y Sobral</t>
  </si>
  <si>
    <t>na: para la Dignidad de Arcipreste de la colegial de Talavera de la Reyna, vacante por promoción de D. Felipe de Rena y Sobral á una Canongía de la metropolitana de Bárgosfá D. Vicente Carrancio, con retención de la Canongía que obtiene en dicha colegial: pa^ xa la Canongía que obtenía también en ella el</t>
  </si>
  <si>
    <t>de Repide, Juan</t>
  </si>
  <si>
    <t>Juan de Repide</t>
  </si>
  <si>
    <t>D. Manuel de Torres, Teniente Corregidor de esta villa, y por la escribanía de su número que exerce Don Juan de Repide. A voluntad de su dueño se venden 70 fanegas, 2 celemines y 25 estadales de tierra en varios pedazos, las 61 fan. 6 cel. y 21 estad, en término de la villa de Pinto, y las 8 fan.</t>
  </si>
  <si>
    <t>rquato Antonio Collado , Teniente Corregidor de esta villa, por la escribanía del número que exerce D. Juan de Repide , dentro de 30 días, contados desde el 7 de este mes. Quien quisiere hacer postura á la mitad de un olivar, sito err término y jurisdicción de la ciudad de Carmona, reyno de Andal</t>
  </si>
  <si>
    <t>tad de sus dueños , en metálico ó en vales Reales, acudirá á la escribanía de su número,, propia de D. Juan de Repide * donde se- dará razón. Por providencia del Sr. D. Manuel de Torres, del Consejo de S. M., Teniente Corregidor de esta villa,, y escribanía, del número de D. Tomas de Sancha y Pra</t>
  </si>
  <si>
    <t>de Reyna, Joseph María</t>
  </si>
  <si>
    <t>Joseph María de Reyna</t>
  </si>
  <si>
    <t>a una Media-Ración de la iglesia de la Havana, vacante por renuncia de D. Gregorio Ramírez Calvo, á D. Joseph María de Reyna, Catedrático de teología de su universidad. En cumplimiento de las Reales cédulas de S. M. de 15 de Julio y 29 de Noviembre de 1797 se recibirán en la Tesorería mayor y en las de</t>
  </si>
  <si>
    <t>de Reyna, Melchor</t>
  </si>
  <si>
    <t>Melchor de Reyna</t>
  </si>
  <si>
    <t>de granaderos:D. Sebastian Planchón, D. Roque Rioboó y D« Bernardo Lorenzo; á Ayudante al Teniente D. Melchor de Reyna; á Tenientes de granaderos á los de fusileros D. Esteban Liñan, D. Antonio Grijoa y D. Gabriel Gascón; á Tenientes á lo» Subtenientes de granaderos D. Fernando Martínez y D. Pascu</t>
  </si>
  <si>
    <t>de Rheden, Barón</t>
  </si>
  <si>
    <t>Barón de Rheden</t>
  </si>
  <si>
    <t>utación extraordinaria» se diferiría hasta aquella época. La declaración que el Barón de Rheden, Ministro hannoveriano, ha presentado á la Dieta, está concebida en estos términos: ,, El Imperio sabe la exactitud con que S. M. el Rey de la Gran Bretaña y el Elector de Brunswick Lunebou</t>
  </si>
  <si>
    <t>de Riaza, Antonio</t>
  </si>
  <si>
    <t>Antonio de Riaza</t>
  </si>
  <si>
    <t>de Valdecerrato, en la diócesis de Palencia, vacante por muerte de D. ETancisco González Pascual, á D. Antonio de Riaza; y para la Prestamera de Guadalcázar, en la diócesis de Córdoba, vacante por fallecimiento de D. Miguel Tbarra,á D. Valentín ¡de Iquzquiza.</t>
  </si>
  <si>
    <t>de Ribadeneyra, Fernando</t>
  </si>
  <si>
    <t>Fernando de Ribadeneyra</t>
  </si>
  <si>
    <t>r. D. Mariano del Amparo Chaves y Villaroel, Mariscal de Castilla, poseedor del mayorazgo que fundó D. Fernando de Ribadeneyra, se venden á pública subasta dos paradas de molinos, con 6 piedras, harineros, en la ribera del rio Tajo y dehesa de Estibiel, jurisdicción de Ja dicha ciudad, distantes 2 leguas</t>
  </si>
  <si>
    <t>de Ribera, Francisco Joseph</t>
  </si>
  <si>
    <t>Francisco Joseph de Ribera</t>
  </si>
  <si>
    <t>adetes D. Felipe Antonio Valencia y D. Mariano Arroyo, y á los Sargentos primeros D. Miguel Garcés, D. Francisco Joseph de Ribera, y D. Francisco Román , el primero y último de granaderos. Y en el de Milicias de caballería de la propia isla há promovido S. M. á Capitán al Teniente Don Manuel Díaz; á;Teniente</t>
  </si>
  <si>
    <t>de Rio y Arnedo, María</t>
  </si>
  <si>
    <t>María de Rio y Arnedo</t>
  </si>
  <si>
    <t>en Valladolid en las de Santander y Miñón. Sara Th...¡... Novela inglesa, traducida del francés por Doña María de Rio y Arnedo. Se hallará en‘la librería de Montero, calle de la Gorguera, á 6 rs. en pasta y 4 en rústica. • Recreo de damas para forte-piano, de Pleyel, tres íjuadernos, á 56 rs.: celebrado m</t>
  </si>
  <si>
    <t>de Roda, Ignacio Ramón</t>
  </si>
  <si>
    <t>Ignacio Ramón de Roda</t>
  </si>
  <si>
    <t>icente de-Oteo y Paredes: para una Ración de la metropolitana de Santiago, vacante por promoción de D Ignacio Ramón de Roda á la Penitenciarla de la misma metropolitana, ¿ D. Joseph Corníde y Pardo : para otra Ración de la catedral de Badajoz, vacante por promoción de D. Luis Joseph de Mendoza a la Dig</t>
  </si>
  <si>
    <t>de Roxas, Joseph María</t>
  </si>
  <si>
    <t>Joseph María de Roxas</t>
  </si>
  <si>
    <t>ervido promover á Ayudante del regimiento de cazadores de Almansa al Capitán D. Joseph María de Roxas, Teniente del propio cuerpo. En América. En el regimiento de infantería fixo de Puerto-Rico se ha servido el Rey promover á Sargento mayor ai Coronel D. Ildefonso Larraori, Capitán primero</t>
  </si>
  <si>
    <t>de Salamanca, Gabriel</t>
  </si>
  <si>
    <t>Gabriel de Salamanca</t>
  </si>
  <si>
    <t>ro; en el de Valencia el empleo de Teniente Coronel al Comandante del tercer batallón del de Saboya D. Gabriel de Salamanca ; Compañía al Ayudante, grádííadó de Capitán; D. Gaspar Franco, y Teñenóia al Subte^ niente D. Francisco de Castro: en el de Toledo Compañía áT Ayudante; con grado- de Capitán, D.</t>
  </si>
  <si>
    <t>de Salazar, Juan Vicente</t>
  </si>
  <si>
    <t>Juan Vicente de Salazar</t>
  </si>
  <si>
    <t>erir el empleo de Secretarlo del Gobierno y Capitanía general de la isla dé Puerto-Rico al Capita»^ D. Juan Vicente de Salazar, Teniente del regimiento de infantería de León. El bergantín correo de la Real armada nombrado el Palomo, que salió de los puertos de Vera-Cruz y Havana en los dias n de Agosto y</t>
  </si>
  <si>
    <t>de San Pedro, Andrés Alonso</t>
  </si>
  <si>
    <t>Andrés Alonso de San Pedro</t>
  </si>
  <si>
    <t>azgo de Poblaciones, en el obispado de Falencia, vacante por muerte de D. Ventura Gómez de Cosío, á D. Andrés Alonso de San Pedro:.para la.Dignidad de Enfermero de la catedral de Pamplona, vacante por fallecimiento de D. Joaquin Zala , á D. Miguel María Daoiz: para la Dignidad de Maestrescuela de la catedral</t>
  </si>
  <si>
    <t>de San Pedro, Pablo Nicolás</t>
  </si>
  <si>
    <t>Pablo Nicolás de San Pedro</t>
  </si>
  <si>
    <t>, seguido de dos &gt; coches dé gala;ocupados el primero'por los Capellanes de Honor , de S. Mv el Dr.,D. Pablo Nicolás de San Pedro, Cura del Real palacio, como Asistente mayor, el Dr. D.Joseph Navarrete, Poc-, toral de la Real capilla, el Dr. D. Martin Ceberio, Penitenciario de.la&gt;misma j como Asistentes diac</t>
  </si>
  <si>
    <t>de Sancha y Prado, Tomás</t>
  </si>
  <si>
    <t>Tomás de Sancha y Prado</t>
  </si>
  <si>
    <t>udiencia del Sr. D. Manuel de Torres, Teniente Corregidor de esta villa, y escribanía del número de D. Tomas de Sancha y Prado, se ha mandado sacar á subasta por término de 30 días, contados desde 1. del corriente , una casa sita en la calle de Jesús y Marta, núm. 10, manz. 49, propia de las memorias fund</t>
  </si>
  <si>
    <t>de su mañana. Quien quisiere hacer postura acuda ante dicho Sr. Teniente y escribanía de número de D. Tomas de Sancha y Prado, que se admitirán las que hicieren arregladas y á moneda metálica. Por D. Manuel Vicente de Torres, Teniente Corregidor de esta villa, se cita , llama y emplaza á todos los acreed</t>
  </si>
  <si>
    <t>l Sr. D. Manuel de Torres, Teniente Corregidor de esta villa , y escribanía de su numero que exerce-D. Tomas de Sancha y Prado, se subastan 62 pedazos de tierra labrantía y una huerta, sitas en los lugares de los Carabancheles, Gétafe y Villaverde,y todas componen 150 fanegas, 2 celemines y 14 estadales,</t>
  </si>
  <si>
    <t>u demora se originen. Por la audiencia del Teniente D. Manuel de Torres, y escribanía del número de D. Tomas de Sancha y Prado, se están subastando una casa y huerta sita en el lugar de Carabanchel de abaxo, con agua de pie, cerca, casilla para el hortelano, hortalizas y árboles frutales, tasado todo con</t>
  </si>
  <si>
    <t>tasada en 59,801 rs. Quien quisiere tratar de su compra acuda á la escribanía del número que exerce D. Tomas de Sancha y Prado, donde se dará razón de las noticias que se pidieren. Se vende á voluntad de su dueño una cabaña de ganado lanar fina trashumante, la mayor parte leonesa y la demás segoviana , co</t>
  </si>
  <si>
    <t>rres, del Consejo de S. M., Teniente Corregidor de esta villa, y escribanía de su número que exeree D. Tomas de Sancha y Prado, hasta el día 6 del próximo mes de Mayo señalado para su remate. A voluntad de su dueño, y por la escribanía de D. Tomas de Sancha y Prado, se vende una tierra de labor, de cabida</t>
  </si>
  <si>
    <t>brí!, ante el Sr. D. Manuel de Torres, Teniente Corregidor de esta villa, y escribanía de número de D. Tomas de Sancha y Prado. Los subscriptores á las Noches divertidas recogerán el tercer tomo en las librerías de Dávila y Fuentenebro , calle de las Carretas, en Sevilla en la de JBerard,</t>
  </si>
  <si>
    <t>radas, sn vales Reales ó en efectivo, á voluntad del comprador, acuda á la escribanía del número de D. Tomas de Sancha y Prado, donde se dará razón. En la villa de -Mondéjar, provincia de Guadalaxara, va á proveerse la plaza de maestro de primeras letras, con la dotación de 500 ducados anuales, y obligaci</t>
  </si>
  <si>
    <t>Torquato Antonio Collado , Teniente Corregidor de esta villa, y:escribanía de su número que exerce D. Tomas de Sancha y Prado, $e, subasta uija,casa, sita én el Real sitio de.S. Ildefonso y calle de los Infantes, que</t>
  </si>
  <si>
    <t>uel de Torres, del Consejo de S. M., Teniente Corregidor de esta villa , y escribanía del número de D. Tomas de Sancha y Prado, donde se admitirán las que se hicieren. Disertaciones sobre la navegación á las Indias orientales por el norte de la Europa, escritas, la primera por Mr. Bauche, de la Academia d</t>
  </si>
  <si>
    <t>ad en vales Reales. Por la audiencia del Sr. D. Torquato Antonio Collado y escribanía del número de D. Tomas de Sancha y Prado, se vende una casa sita en el lugar de Alcorcon, tasada en rs. Quien quisiere hacer postura acuda ante dicho Señor Teniente y escribanía en e4 término de 30 dias contados desde 25</t>
  </si>
  <si>
    <t>el de Torres, del Consejo de S. M., Teniente Corregidor de esta villa,, y escribanía, del número de D. Tomas de Sancha y Prado,se ha mandado sacar á subasta por término de 30 días.contados desde 14 dél presente, una casa que hace poco se renovó, sita en la calle de Sta. Isabel ,núm. 4, manz. 7, tasadá en</t>
  </si>
  <si>
    <t>de Sancha, Tomás</t>
  </si>
  <si>
    <t>Tomás de Sancha</t>
  </si>
  <si>
    <t>s., y renta al dia 28% rs. Quien quisiere hacer postura lo executará por la escribanía de número de D. Tomas de Sancha. Por la audiencia del expresado Sr. Teniente Corregidor y escribanía del núiiiero de D. Gervasio Fernández Izquierdo , se está subastando úna casa sita en esta corte , en la calle</t>
  </si>
  <si>
    <t>de Santa Cruz, Domingo</t>
  </si>
  <si>
    <t>Domingo de Santa Cruz</t>
  </si>
  <si>
    <t>eo del dia 18 de Enero del presente ano remitió D. Gregorio de Santa Cruz, del comercio de Cádiz, á D. Domingo de Santa Cruz, vecino de Logroño, seis vales Reales de á 300 pesos, creación de i.° de -Setiembre , números 51254, 52446,57752,58480,612897 62879, renovados en favor del citado D. Gregorio de S</t>
  </si>
  <si>
    <t>de Santa Cruz, Gregorio</t>
  </si>
  <si>
    <t>Gregorio de Santa Cruz</t>
  </si>
  <si>
    <t>los han ganado Jos jugadores 497,840 rs. Por el correo del dia 18 de Enero del presente ano remitió D. Gregorio de Santa Cruz, del comercio de Cádiz, á D. Domingo de Santa Cruz, vecino de Logroño, seis vales Reales de á 300 pesos, creación de i.° de -Setiembre , números 51254, 52446,57752,58480,612897 62</t>
  </si>
  <si>
    <t>de Santa María y Salamanca, Domingo</t>
  </si>
  <si>
    <t>Domingo de Santa María y Salamanca</t>
  </si>
  <si>
    <t>n y Don Ramón Calvo de Rozas ; nombrando por Oidor supernumerario de la Chancillería deValladolid á D. Domingo de Santa María y Salamanca. Para las quatro plazas de la expresada Audiencia que;queda\i vacantes., nombro á.D. Francisco Diaz Bermudo¿ Oidor de iá )Audiencia de Canarias; á D. Joaquín Sistemes, de la de Ma</t>
  </si>
  <si>
    <t>de Santiago Concha, Francisco</t>
  </si>
  <si>
    <t>Francisco de Santiago Concha</t>
  </si>
  <si>
    <t>de Dean de la metropolitana de Lima, vacante por muerte del Dr. D„ Joaquín de Carvajal y Vargas, á D. Francisco de Santiago Concha , Arcediano de la referida iglesia: para este Arcedianato al Chantre D. Domingo Larion: para la Chantría ai Tesorero D. Joseph Ignacio Alvarado : para la Tesorería al Canónigo D.</t>
  </si>
  <si>
    <t>de Santiago Palomares, Francisco Xavier</t>
  </si>
  <si>
    <t>Francisco Xavier de Santiago Palomares</t>
  </si>
  <si>
    <t>ngosta de Majadericos. Arte de escribir, por D. Estéban Ximenez siguiendo el método y buen gusto de D. Francisco Xavier de Santiago Palomares. En esta obra, que en la substancia eomprehende el admirable método de Pedro Díaz Morante, y carácter nacional bastardo de Palomares, se dan reglas sencillas y muy naturales para</t>
  </si>
  <si>
    <t>de Seguera, Melchor</t>
  </si>
  <si>
    <t>Melchor de Seguera</t>
  </si>
  <si>
    <t>ey se ha servido conferir la Sargentía mayor del regimiento de dragones provinciales de Mechoacan á D. Melchor de Seguera, Capitán del regimiento de infantería de la Corona fixo de NuevaEspáña; y Compañía en el de dragones de Buenos-Ayres á D. Manuel Larrazabat, Ayudante del de milicias disciplinadas</t>
  </si>
  <si>
    <t>de Sentmanat y Copons, Ramón</t>
  </si>
  <si>
    <t>Ramón de Sentmanat y Copons</t>
  </si>
  <si>
    <t>andancia del esquadron de dragones de América, fixo de la Havana, al Coronel D. Ramón de Sentmanat y Copons, Teniente Coronel agregado al mismo cuerpo; y la Sargentía mayor de la plaza de Puerto Rico á D. Rafael Chico, Capitán del regimiento de infantería de Valencia. Por el Ministerio de Haciend</t>
  </si>
  <si>
    <t>de Sequera, Julián</t>
  </si>
  <si>
    <t>Julián de Sequera</t>
  </si>
  <si>
    <t>la Tenencia Coronela del regimiento de Navarra al Comandante del tercer batallón del propio cuerpo D. Julián de Sequera; Ayudantía en el de Granada al Teniente, graduado de Capitán, D. Manuel López; Compañía en el de Asturias al Ayudante, graduado de Capitán, D. Francisco Bouligni; Compañía en el d</t>
  </si>
  <si>
    <t>de Serralde, Marcos Antonio</t>
  </si>
  <si>
    <t>Marcos Antonio de Serralde</t>
  </si>
  <si>
    <t>e venido en jubilar con medio sueldo á los Oidores de la Audiencia de Galicia D. Juan de Loresecha, D. Marcos Antonio de Serralde y D. Bernardo Plerbella, y á los Alcaldes D. Joseph Palacios y León y Don Ramón Calvo de Rozas ; nombrando por Oidor supernumerario de la Chancillería deValladolid á D. Domingo de San</t>
  </si>
  <si>
    <t>de Sierra, Lorenzo</t>
  </si>
  <si>
    <t>Lorenzo de Sierra</t>
  </si>
  <si>
    <t>era al Cadete D. Mariano Luis Montaner: en el.de Aragón á Capitán al Ayudante, graduado de Capitán, Don Lorenzo de Sierra, y á Subteniente de bandera al Sargento primero Don</t>
  </si>
  <si>
    <t>de Silva, Fernando</t>
  </si>
  <si>
    <t>Fernando de Silva</t>
  </si>
  <si>
    <t>. El Rey se ha servido promover á Capitán primero del Real cuerpo de Artillería al de segunda clase D. Fernando de Silva. En el Real cuerpo de Ingenieros del exército ha promovido S. M. á Capitanes primeros los segundos D. Juan María de la Cruz y D. Manuel Rodríguez Fito; y á Capitán segundo al Teni</t>
  </si>
  <si>
    <t>de Silva, Pedro</t>
  </si>
  <si>
    <t>Pedro de Silva</t>
  </si>
  <si>
    <t>para la Canongía de la Metropolitana de Santiago, vacante por fallecimiento de D. Jorge Cisneros, á D. Pedro de Silva: para otra dé la catedral de Xerona, vacante por renuncia que de ella ha hecho Don Antonio Civit y Nadal, á D. Vicente Ximenez: para el Arciprestazgo de Caracena, en la diócesis d</t>
  </si>
  <si>
    <t>nuel Rodríguez y D. Joseph Ramírez; á Tenientes á los Subtenientes de granaderos D. Patricio Gandía,D. Pedro de Silva y D. Casimiro Esteves , y al de fusileros D. Joaquín de los Reyes; á Subtenientes de granaderos á los de fusileros D. Joseph Díaz, D. Andrés Postigo y D. Juan Velazquez , y á Subtenie</t>
  </si>
  <si>
    <t>de Silva, Rafael</t>
  </si>
  <si>
    <t>Rafael de Silva</t>
  </si>
  <si>
    <t>isla há promovido S. M. á Capitán al Teniente Don Manuel Díaz; á;Teniente al Alférez de carabineros D. Rafael de Silva; á esta resulta al Alférez D. Gregorio Cebollero, y á Alféreces al Cadete D. Vicente Dávila y al Sargento primero de carabineros, gradeado. de Alférez, D. Pedro Ramírez. , ‘ Conoc</t>
  </si>
  <si>
    <t>de Simancas, Agustín</t>
  </si>
  <si>
    <t>Agustín de Simancas</t>
  </si>
  <si>
    <t>d de Chantre de la catedral de Truxillo, vacante por muerte de D. Joseph Antonio Huerta y Laredo, á D. Agustín de Simancas, Canónigo mas antiguo de la propia catedral: para esta Canongía al Racionero D. Antonio Román Mesones: para esta resulta al Medio-Racionero D. Francisco de Borja Zurita y Vergara;</t>
  </si>
  <si>
    <t>de Smirhs, Juan</t>
  </si>
  <si>
    <t>Juan de Smirhs</t>
  </si>
  <si>
    <t>uar estos, poniéndolos entonces S. M. baxo la dirección del Ingeniero en xefe de marina y Brigadier D. Juan de Smirhs. La actividad de este oficial, unida á sus acreditados conocimientos, han llenado todas las esperanzas y conatos de los promotores de tan digna empresa, habiéndose logrado ai cabo</t>
  </si>
  <si>
    <t>de Sobrado, Antonio Ramón</t>
  </si>
  <si>
    <t>Antonio Ramón de Sobrado</t>
  </si>
  <si>
    <t>rvido nombrar para el Arcedianato de Deza, Dignidad de la catedral de Lugo, vacante por renuncia de D. Antonio Ramón de Sobrado, á D. Juan María del Seixo: para el Arciprestazgo de Uceda; en la diócesis de Toledo , vacante por muerte de D. Joseph de Asenjo , á D. Felipe Montero : para un Beneficio fundado</t>
  </si>
  <si>
    <t>de Sobrado, Pedro Antonio</t>
  </si>
  <si>
    <t>Pedro Antonio de Sobrado</t>
  </si>
  <si>
    <t>aza acuda á D. Antonio María de Llano, Síndico Procurador general de dicho valle, y en esta corte á D. Pedro Antonio de Sobrado, que vive cava de S. Miguel, num. 1, quarto 3.0, con la expresión de sus méritos y circunstancias. Se proveerá el dia 30 de Julio próxtmo. En la ciudad de San-tander está vacante</t>
  </si>
  <si>
    <t>de Soto y Gtizman, Francisco</t>
  </si>
  <si>
    <t>Francisco de Soto y Gtizman</t>
  </si>
  <si>
    <t>una casa sita en la calle de Jesús y Marta, núm. 10, manz. 49, propia de las memorias fundadas por D. Francisco dé Soto y Gtizman , retasada últimamente en 297,40418. Quien quisiere hacer postura á ella acuda ante dicho Sr. I’entente-y escribanía, t En virtud de providencia del mismo "Sr. Teniente Corregidor</t>
  </si>
  <si>
    <t>de Soto y Valcarcel, Vicente</t>
  </si>
  <si>
    <t>Vicente de Soto y Valcarcel</t>
  </si>
  <si>
    <t>servido nombrar para la Dignidad de Maestrescuela de la catedral de Avila, vacante por promoción de D. Vicente de Soto y Valcarcel al Obispado de Valladolid, á D. Antonio Ruiz Fernandez de Larrea; para la de Tesorero de la misma catedral, vacante por fallecí</t>
  </si>
  <si>
    <t>de Soto y Valcárcel, Vicente</t>
  </si>
  <si>
    <t>Vicente de Soto y Valcárcel</t>
  </si>
  <si>
    <t>,1123 de S. Isidro el Real de esta corte los limo?. Sres. D. Vicente de Soto y Valcárcel, Obispo de Valladolid, y D. Félix Amat, Arzobispo de Palmira y Abad de la Granja: siendo Consagrante el Emo. y Excmo. Sr. Cardenal Arzobispo de Toledo; y Asistentes los limos. Sre</t>
  </si>
  <si>
    <t>de Soto, Antonio</t>
  </si>
  <si>
    <t>Antonio de Soto</t>
  </si>
  <si>
    <t>duado de Ca~ pitan, D. Antonio Gutiérrez : en el de Granada á Teniente al Subteniente de granaderos D. Antonio de Soto: en el de Zaragoza á Subteniente de bandera al Cadete D. Antonio de Miranda: en el de Murcia á Teniente al Subteniente de granaderos D. Dámaso de Vargas ; y á Subtenientes dé band</t>
  </si>
  <si>
    <t>de Soto, Joaquín</t>
  </si>
  <si>
    <t>Joaquín de Soto</t>
  </si>
  <si>
    <t>rvido conceder en.el regimiento de infantería de Toledo Tenencias á los Subtenientes de igranaderos D. Joaquin de Soto y D. Raymundo Ruiz: en el de Irlanda Tenencia al Subteniente de granade ros D. Joseph Ramón Mackena; y en el de Extremadura Compañía al Teniente de granaderos, graduádo.de Capitán , D</t>
  </si>
  <si>
    <t>de Soto, Juan Carlos</t>
  </si>
  <si>
    <t>Juan Carlos de Soto</t>
  </si>
  <si>
    <t>Tenencias en el de Córdoba y en el segundo batallón de Voluntarios de Barcelona á los Subtenientes D. Juan Cárlos de Soto, de granaderos, y D. Alexo Mestres: Subtenencias de bandera en los de Zaragoza , Navarra y España, &gt;.áD. Francisco del Castillo y D. Manuel López Quintana, Cadetes de Reales Guard</t>
  </si>
  <si>
    <t>de Sotomayor, Joaquín</t>
  </si>
  <si>
    <t>Joaquín de Sotomayor</t>
  </si>
  <si>
    <t>Dignidad de Chantre de la catedral de Quito, vacante por fallecimiento de D. Tadeo Joseph Orozco, á D. Joaquín de Sotomayor , Dignidad de Tesorero de la propia catedral: pata esta Tesorería al Doctoral D. Calixto Miranda: para una Ración de la misma catedral, vacante por ascenso de D. Lázaro Sevillano</t>
  </si>
  <si>
    <t>de Souza, Conde</t>
  </si>
  <si>
    <t>Conde de Souza</t>
  </si>
  <si>
    <t>ial Conde de Kevenhuller, ha tenido el 24 audiencia de S. S. —.El 21 la tuvo el Conde de Souza, Ministro de Portugal, en cuya ocasión se notó la magnificencia de su comitiva. De Bolonia escriben que las lluvias copiosas que allí se experimentan han hecho salir de madre el Po en vario</t>
  </si>
  <si>
    <t>de Subirán, Diego</t>
  </si>
  <si>
    <t>Diego de Subirán</t>
  </si>
  <si>
    <t>gdalena : para otra Canongía de la' cátedra! de Segovia, vacante por muerte de D. Ramón Galamino, á D. Diego de Subirán, Cura del Armuña, en aquella diócesis; y para una Ración de la catedral de Calahorra, vacante por promoción de D. Pedro Atanasio y Arce á la Dígnidadyie Arcediano mayor del Salvad</t>
  </si>
  <si>
    <t>de Suso y Anda, Santiago</t>
  </si>
  <si>
    <t>Santiago de Suso y Anda</t>
  </si>
  <si>
    <t>y-Abaunza. Asimismo se ha dignado nombrar para el Corregimiento de letras de ]a ciudad de Logroño á D. Santiago de Suso y Anda: para el de la de Vhlena á D. Manuel Antonio Palacios: para el de la Vara de Alcalde mayor de la de Burgos á D. Diego Ignacio Goñi: para la de la de Plasencia á D. Santiago Nuñez</t>
  </si>
  <si>
    <t>de Tejada y Romero, Manuel María</t>
  </si>
  <si>
    <t>Manuel María de Tejada y Romero</t>
  </si>
  <si>
    <t>parroquia de Tuque, en la diócesis de Córdoba, vacante por muerte de D. Antonio Motezuma y Roxas, á D. Manuel María de Tejada y Romero ; y para un Beneficio Diaconíl de la parroquia de Torruella de Mongrí, diócesis de Gerona , vacante por fallecimiento de D. Francisco Verry, á Don Salvador Mont. En la Real Compañ</t>
  </si>
  <si>
    <t>de Tekeshaskey, Alexandro (príncipe)</t>
  </si>
  <si>
    <t>Príncipe Alexandro de Tekeshaskey</t>
  </si>
  <si>
    <t>quilos, por quarito el enemigo np puede prometerse encontrarnos indefensos. Ha,llegado á Harwich el Príncipe Alexandro de Tekeshaskey con pliegos de Petersburgo para el Conde de VV^oronzow. Según cartas de S. Vicente', con fecha dé 4 de Setiembre, la Martinica se halla bloqueada con grande rigor: hay grande esca</t>
  </si>
  <si>
    <t>de Teran y Obregon, Francisco</t>
  </si>
  <si>
    <t>Francisco de Teran y Obregon</t>
  </si>
  <si>
    <t>para la Canongía de la metropolitana de Toledo, vacante por fallecimiento de D. Miguel de Ochoa, á D. Francisco de Teran y Obregon. S. M. se ha servido conferir el empteo de Coronel del regimiento de infantería de Córdoba al Teniente Coronel del de infantería de Sevilla, graduado de Coronel, D. Pedro Dupin. E</t>
  </si>
  <si>
    <t>de Tercilla, Vicente María</t>
  </si>
  <si>
    <t>Vicente María de Tercilla</t>
  </si>
  <si>
    <t>ena : traducido al castellano con notas é ilustraciones según el derecho Real de España por el Lie. D. Vicente María de Tercilla, Abogado de los Reales Consejos &amp;c.: ur tomo en 4.0 Se hallará á 14 rs. en pasta en las librerías de Castillo, frente á las gradas dé S. Felipe, y de Mafeo, carrera de S. Gerónimo</t>
  </si>
  <si>
    <t>de Torres Cónsul, Manuel</t>
  </si>
  <si>
    <t>Manuel de Torres Cónsul</t>
  </si>
  <si>
    <t>e serán pagados. A consecuencia de las soberanas disposiciones , y en virtud de providencia del Sr. D. Manuel de Torres Cónsul se ha mandado sacar á pública subasta por término de 30 días, que empiezan á correr desde el 2 de este mes , una casa sita yn esta corte/calle de Cañizares, man. 10 , manz. i$6, q</t>
  </si>
  <si>
    <t>En virtud de providencias del Sr. D. Manuel de Torres Cónsul se está subastando una casa sita en esta corte en la cálle de Cañizares , ní»m. io, manz. 156 , que comprehende 7684 pies de sitio, tasada en 243,124 rs., sin incluir varias vidri</t>
  </si>
  <si>
    <t>de Torres Cónsul, Manuel Vicente</t>
  </si>
  <si>
    <t>Manuel Vicente de Torres Cónsul</t>
  </si>
  <si>
    <t>136 7 de este mes, cjuc por primero, segundo , tercero y último término-se ha señalado, ante el Sr. D. Manuel Vicente de Torres Cónsul, y por la escribanía dd mero de D. Juan Antonio de Urraza, por sí ó su procurador con poder bastante a deducá r sus respectivas acciones, y decir y exponer lo que tengan por conve</t>
  </si>
  <si>
    <t>de Torres, Bernardo</t>
  </si>
  <si>
    <t>Bernardo de Torres</t>
  </si>
  <si>
    <t>visor y Vicariorgeneral de aquel obispado: f&gt;ara otra de la de Os uva, vacante por fallecimiento de D. Bernardo de Torres, á D. Ramón de Nafria, Cura de la parroquial del lugar de Recuerda, en la misma diócesis: para otra de la misma de Osma, vacante por muerte de D.Juan Simón, á D. Juan Aparicio y C</t>
  </si>
  <si>
    <t>de Torres, Diego</t>
  </si>
  <si>
    <t>Diego de Torres</t>
  </si>
  <si>
    <t>reses de S. M. ni de los de los particulares.__ Los discursos y justificaciones deberán dirigirse á D. Diego de Torres, Secretario de la Sociedad, por todo el corriente año, y los autores de memorias y disertaciones enviarán en papeles cerrados sus nombres, los quales no se descubrirán hasta la ad</t>
  </si>
  <si>
    <t>de Torres, Joaquín</t>
  </si>
  <si>
    <t>Joaquín de Torres</t>
  </si>
  <si>
    <t>ares dé Oiivencia los empleos de Alféreces al Cadete D. Manuel García Segoviá y al Sargento primero D. Joaquín de Torres. En América. El Rey se ha servido conferir el empleo de Secretarlo del Gobierno y Capitanía general de la isla dé Puerto-Rico al Capita»^ D. Juan Vicente de Salazar, Teniente del</t>
  </si>
  <si>
    <t>de Torres, Joseph Xavier</t>
  </si>
  <si>
    <t>Joseph Xavier de Torres</t>
  </si>
  <si>
    <t>Dignidad de Tesorero de la propia metropolitana: para esta resulta al Canónigo Doctoral de la misma D. Joseph Xavier de Torres; y para la Canongíá Dodtorai de la metropolitana dé Lima, vacante por fallecimiento de Don Joseph Antonio Cevallos,á D. Pedro Gutiérrez de Cos. Con fecha de 3 de este mes se ha co</t>
  </si>
  <si>
    <t>de Torres, Juan</t>
  </si>
  <si>
    <t>Juan de Torres</t>
  </si>
  <si>
    <t>bandera al Sargento primero D. Joseph Luis: en él de Sevilla Tenencia al Subteniente de granaderos D. Juan de Torres: en el de Murcia la Comandancia del tercer batallón al Sargento mayor deLde Granaderos Voluntarios de Estado. D. Luis de Oyarzabal; el empleo de Sargento ma^or al Capitán de grana</t>
  </si>
  <si>
    <t>de Torres, Manuel</t>
  </si>
  <si>
    <t>Manuel de Torres</t>
  </si>
  <si>
    <t>emate está señalado el lunes 31 de este mes á las doce y media de la mañana en la audiencia del Sr. D. Manuel de Torres, del Consejo de S. M., Teniente Corregidor de esta villa , ante D. Diego Benigno González, Escribano del número. Catecismo litúrgico en dos tomos en 4.0: el i.° trata de varías fi</t>
  </si>
  <si>
    <t>s. Abric, herma* nos, de Cádiz-, ó al D. Adjutori Serradora, de Barcelona. Por la audiencia del Sr. D. Manuel de Torres, Teniente Corregidor de esta villa, y escribanía del número de D. Tomas de Sancha y Prado, se ha mandado sacar á subasta por término de 30 días, contados desde 1. del corriente ,</t>
  </si>
  <si>
    <t>ra el remate se ha señalado el dia 18 de este mes, á las 1 2^ jde la mañana en la audiencia del Sr. D. Manuel de Torres, del Consejo de S. M., Teniente Corregidor de esta villa',!ante p. Piego Benigno González, Escribano del número. . • A voluntad de su dueño, y en virtud de providencia del Sr. D.</t>
  </si>
  <si>
    <t>nía de provincia de D. Juan Antonio Díaz Noriega á legitimar sus créditos. Por la audiencia del Sr. D. Manuel de Torres, Teniente Corregidor de esta villa , y escribanía de su numero que exerce-D. Tomas de Sancha y Prado, se subastan 62 pedazos de tierra labrantía y una huerta, sitas en los lugares</t>
  </si>
  <si>
    <t>haya lugar, siendo responsables á los que por su demora se originen. Por la audiencia del Teniente D. Manuel de Torres, y escribanía del número de D. Tomas de Sancha y Prado, se están subastando una casa y huerta sita en el lugar de Carabanchel de abaxo, con agua de pie, cerca, casilla para el hor</t>
  </si>
  <si>
    <t>que y i ye calle de los Tudescos, ntim. 21, quarto principal::} r &lt;- ■. * . Por proyidenqia del Sf. D. Manuel de Torres se* ha señalado,para el remate de: 7.-casas.el dia 29 del corriente, de doce á una de su mañana,, &amp; lais puertas efe la audiencia de S..S., 4'saber: una en:la calle de S. Chjristó</t>
  </si>
  <si>
    <t>imamente en 97,018 rs., y se hallan puestas en la misma cantidad en vales Reales, acuda ante el Sr. D. Manuel de Torres, del Consejo de S. M., Teniente Corregidor de esta villa, y escribanía de su número que exeree D. Tomas de Sancha y Prado, hasta el día 6 del próximo mes de Mayo señalado para su</t>
  </si>
  <si>
    <t>. , y dan por ellas 4517 , acuda en el término de 15 días , contados desde 26 de Abrí!, ante el Sr. D. Manuel de Torres, Teniente Corregidor de esta villa, y escribanía de número de D. Tomas de Sancha y Prado. Los subscriptores á las Noches divertidas recogerán el tercer tomo en las librerías de Dá</t>
  </si>
  <si>
    <t>en la calle de la Esgrima de esta corte, núm. 3, manz. 46, tasada en 45,666 rs., acuda ante el Sr. D. Manuel de Torres, Teniente Corregidor de esta villa, y por la escribanía de su número que exerce Don Juan de Repide. A voluntad de su dueño se venden 70 fanegas, 2 celemines y 25 estadales de tier</t>
  </si>
  <si>
    <t>i emplazamiento se procederá á lo que corresponda, y les parará el perjuicio que haya lugar. El Sr. D. Manuel de Torres, del Consejo de S. M., Teniente Corregidor de esta villa, ha señalado el dia i.° del próximo mes de Junio á las 9 de su mañana en la posada de S. S., para que concurran á ella á t</t>
  </si>
  <si>
    <t>sá, sita en lá calle de S. Andrés, núm. 1, manz. 476, tasada en 11,669 rs. Por la audiencia del Sr. D. Manuel de Torres , del Consejo de S. M., Teniente Corregidor de esta ¡villa, y escribanía del número de D. Juan Antonio de Urraza, se ha rematado una casa, sita en la calle de Cañizares, núm. 10,m</t>
  </si>
  <si>
    <t>leve á debido efecto. Y en su conformidad la persona que quisiere mejorar aquel acudirá ante el Sr. D. Manuel de Torres, del Consejo de S. M., Teniente Corregidor de esta villa , y escribanía del número de D. Tomas de Sancha y Prado, donde se admitirán las que se hicieren. Disertaciones sobre la na</t>
  </si>
  <si>
    <t>linda con la ermita de la Concepción , tasada en 11© rs. Quien quisiere comprarla acuda ante el Sr. D. Manuel de Torres, del Consejo de S. M., Teniente Corregidor de esta villa, por la escribanía numeraria de D. Diego Benigno González, donde se admitirán las posturas que se hicieren en moneda metál</t>
  </si>
  <si>
    <t>el remate de ujrt.Título, de Castilla, &lt;jue se vende en virtud de facultad Real, ha señalado el $r, D. Manuel de Torres, del Consejo de S. M., primer Teniente Corregidor de esta villa, el viernes 15 del corriente mes en su audiencia entre doce y una de su mañana, ante el Escribano del número D.Vice</t>
  </si>
  <si>
    <t>hecha postura en 22© ducados-en vales Reales. Quien quisiere hacer alguna mejora acuda ante el Sr. D. Manuel de Torres, del Consejo de S. M., primer Teniente Corregidor de esta villa, por la escribanía del número de D. Vicente de lá Costa, previniéndose que el remate se ha de celebrar el martes 1.</t>
  </si>
  <si>
    <t>15,400 pies de sitio. La persona que quiera hacer postura á dicha casa acudirá ante el citado Sr.. D. Manuel de Torres y la misma escribanía,. La villa de Mayorga de Campos ha obtenido licencia del Consejo para que de sus propios se dote una plaza de Cirujano de estuche con 300 ducados anuales. Los pro</t>
  </si>
  <si>
    <t>uelta á la calle sin salida, y tiene de sitio 2 s9¡ pies, tasuda en 150,981 rs., ocurra ante el Sr. D. Manuel de Torres, del Consejo de S. M., Teniente Corregidor en ella, por la escribanía del número de D. Diego Benigno González. =: Ante el mismo Sr. Juez y escribanía se subasta otra casa, sita en</t>
  </si>
  <si>
    <t>ino de 30 días, contados del 30 de Set leraibire. Por providencia de;:l S*. T&gt;. Manuel de Torres, Teniente Corregidor de esta villa , y para hacer pa^go é diferentes acreedores, se manda sacar á pública subasta una casa sita en la calile de la Manzana, núm. 8 , manz. 500, que tiene de</t>
  </si>
  <si>
    <t>diencia del Sr. D. Torquato Antonio Collado, Teniente Corregidor de Madrid. Por providencia del Sr. D. Manuel de Torres, del Consejo de S. M., Teniente Corregidor de esta villa , se subastan dos casas , una en la calle de los Tintes, números 778, manz. 166, que tiene de sitio 3900 píes, está tasada</t>
  </si>
  <si>
    <t>ien quisiere hacer postura acudirá á la escribanía del número de D.’ Casimiro Antonio Gómez. El Sr. D. Manuel de Torres , del Consejo de S. M., Teniente Corregidor de esta villa, ha señalado el juéves 24 del corr-iente á las 12 de su mañana en la audiencia de S. S. para el remate de uná casa, sita</t>
  </si>
  <si>
    <t>cribanía de su número,, propia de D. Juan de Repide * donde se- dará razón. Por providencia del Sr. D. Manuel de Torres, del Consejo de S. M., Teniente Corregidor de esta villa,, y escribanía, del número de D. Tomas de Sancha y Prado,se ha mandado sacar á subasta por término de 30 días.contados des</t>
  </si>
  <si>
    <t>de Torres, Manuel Vicente</t>
  </si>
  <si>
    <t>Manuel Vicente de Torres</t>
  </si>
  <si>
    <t>igno González, Escribano del número. . • A voluntad de su dueño, y en virtud de providencia del Sr. D. Manuel Vicente de Torres, del Consejo de S. M., Teniente Corregidor de esta villa, se ha mandado sacar á pública subasta por 15 días mas una casa que ha poco se acaba de renovar, sita en ,1a calle de Sta.</t>
  </si>
  <si>
    <t>e facultad Real se vende un Título de Castilla. Quien quisiere hacer postura á él acuda ante el Sr. D. Manuel Vicente de Torres, del Consejo de S. M., primer Teniente Corregidor de esta villa , por la escribanía del número de D. Vicente de la Costa, eñ el término de 20 dias. , Memorias para la vida del Sto</t>
  </si>
  <si>
    <t>nde á la cantidad de 245,613 rs; 33 mrs. Quien quisiere hacer postura lo hará en el juzgado del Sr. D. Manuel Vicente de Torres, Teniente Corregidor de esta villa , y escribanía de D» Jacobo'Manuel de Manrique dentro del término de 30 dias , contados desde esta fecha; en la inteligencia de que su remate no</t>
  </si>
  <si>
    <t>pies, tasadacon inclusión de algunos árboles silvestres , en 94,564 rs. 11 mrs., acuda ante el Sr. D. Manuel Vicente de Torres, del Consejo de S* M., Teniente Corregidor de esta villa, por la escribanía del número de D. Joseph Mateo y Aguado, dentro del término de 30 dics, contados desde el 7 del corrient</t>
  </si>
  <si>
    <t>de Torres, Matías</t>
  </si>
  <si>
    <t>Matías de Torres</t>
  </si>
  <si>
    <t>atallón de Voluntarios de Aragón se ha servido promover el Rey á Capitán primero al Capitán segundo D. Matías de Torres. En América. El Rey se ha servido nombrar para una Ración de la catedral del Nuevo Reyno de León, vacante por renuncia que hizo de ella D. Joseph Pedro BustUlo y Cevallos, á D. AL</t>
  </si>
  <si>
    <t>de Torres, Sebastián</t>
  </si>
  <si>
    <t>Sebastián de Torres</t>
  </si>
  <si>
    <t>o. Sr. Cardenal D. Nicolás Colona, Nuncio Apostólico que fué en estos rey.nos, acudirán ante el Sr. D. Sebastian de Torres, del Consejo Real ,.'.pór la escribanía de D. Jacobo Manuel Manrique, á presentar, deducir y legitimar sus créditos y derechos en el preciso y perentorio término de 20 dias, conta</t>
  </si>
  <si>
    <t>udio de gramática y ortografía castellana, que regenta D. Guillelmo Xaramillo, presidiéndolo el Sr. D. Sebastian de Torres * del Consejo Real, con asistencia de la Real Sociedad económica de amigos del pais. Don Joseph Junco leyó una oración sobre la utilidad de esta enseñanza ; el catedrático, examin</t>
  </si>
  <si>
    <t>de Tovar, Ramón</t>
  </si>
  <si>
    <t>Ramón de Tovar</t>
  </si>
  <si>
    <t>o conferir en el regimiento de infantería de Guadalaxara Compañía al Ayudante, graduado de Capitán, D. Ramón de Tovar: en, el ae Granada Tenencia al Subteniente D. Juan Zavalete: en ei de Valencia Subtenencia al Sargento primero D. Antonio del Castillo: en el Fixo de Ceuta Compañía de granaderos</t>
  </si>
  <si>
    <t>de Trasvina, Manuel</t>
  </si>
  <si>
    <t>Manuel de Trasvina</t>
  </si>
  <si>
    <t>l nuevo petitorio eri las visi.tas: 3 tomos en 4.0 con 13 láminas finas. Véndese en la droguería de D. Manuel de Trasvina, calle de Postas, á 48 rs. en papel, 50 en, rústica y 60 «ni pasta: ’ * ‘ ; ' '‘ " Documentos de chriátíaria y civil educación r escritos y publicados por D.-Juan Ignacio Barranqu</t>
  </si>
  <si>
    <t>de Triarte, Francisco</t>
  </si>
  <si>
    <t>Francisco de Triarte</t>
  </si>
  <si>
    <t>rriente, salieron los números 39, 64, 63, 42 y 80; y con ellos han ganado los jugadores 469,332 rs. Don Francisco de Triarte, del comercio de Cádiz, remitió con fecha de 4 de Enero de este año á D. Domingo de Galardi, de S. Seoastian, endosados a su favor, tres vales de 600 pesos de i.° de Mayo, núms.-4</t>
  </si>
  <si>
    <t>de Troncoso, Antonio Miguel</t>
  </si>
  <si>
    <t>Antonio Miguel de Troncoso</t>
  </si>
  <si>
    <t>anere; y en el batallón de Voluntarios de Valencia á Capitán segundo ai leniente y segundo Ayudante D. Antonio Miguel de Troncoso. En América. El Rey se ha servido nombrar Sargento mayor del re^ gimiento de dragones Provinciales de Vaüadolid de Mechoacan al Capitán D. Rafael de Ortega, Ayudante que fue del r</t>
  </si>
  <si>
    <t>de Tuero, Francisco Alonso</t>
  </si>
  <si>
    <t>Francisco Alonso de Tuero</t>
  </si>
  <si>
    <t>parroquial de Santa María de la villa deMaqueda, en la diócesis de Toledo, vacantes por renuncia de D. Francisco Alonso de Tuero, á D. Andrés de Iturmendi ; y para la Dorna tercera de la parroquial de Castellón de Ampurias, diócesis de Gerona, vacante por muerte de D. Pedro Gauler, á D. Luis García Conde. £</t>
  </si>
  <si>
    <t>de Tuesta, Domingo Antonio</t>
  </si>
  <si>
    <t>Domingo Antonio de Tuesta</t>
  </si>
  <si>
    <t>quia de S. Nicolás de Almazan de la villa de Huete, en la diócesis de Cuenca, vacante por muerte de D. Domingo Antonio de Tuesta, á D. Andrés Bonomo y Blet; y para la Abadía del Real monasterio de Ntra. Sra. de la O de la congregación Benedictina claustral Tarraconense y Cesaraugustana, en Aragón, á D. Fr.</t>
  </si>
  <si>
    <t>de Turnes, Nicolás</t>
  </si>
  <si>
    <t>Nicolás de Turnes</t>
  </si>
  <si>
    <t>acante por promoción de D. Joseph Cornide y Pardo á una Ración de aquella iglesia metropolitana , á D. Nicolás de Turnes: para la Media-Ración, que se halla vacante en la catedral de Córdoba, á D. Francisco Xavier Masuelo: para el Beneficio titulado Ración de la Plinojosa, en el obispado de Ciudad-R</t>
  </si>
  <si>
    <t>de Ugarte y Larrazabal, Antonio</t>
  </si>
  <si>
    <t>Antonio de Ugarte y Larrazabal</t>
  </si>
  <si>
    <t>Saiz de la Fuente y D. Juan Gabriel Fernandez Serrano, Agentes de negocios del número de Indias, á D. Antonio de Ugarte y Larrazabal y D. Angel Escudero Guzman. Por el Ministerio de Hacienda se ha comunicado con fecha de 24 de este mes la P^eal orden siguiente: El Rey ha visto con admiración la falta de cumplimient</t>
  </si>
  <si>
    <t>de Uñarte y Lauda, Joaquín</t>
  </si>
  <si>
    <t>Joaquín de Uñarte y Lauda</t>
  </si>
  <si>
    <t>por la Sociedad para promover la felicidad pública en esta provincia. El Dr. D. Joaquín de Uñarte y Lauda, Secretario del cuerpo, leyó las actas del año, y examinó en ellas las causas que imyedian á la Sociedad extender sus miras á mayores objetos. Después se presentaron las niñas de las escuelas</t>
  </si>
  <si>
    <t>de Uriarte, Juan</t>
  </si>
  <si>
    <t>Juan de Uriarte</t>
  </si>
  <si>
    <t>l Subteniente de granaderos D. Marcos Rodríguez: en el de Aragón á Subteniente de bandera al Cadete D. Juan de Uriarte; y en el batallón de Voluntarios de Valencia á Subteniente de bandera al Cadete D. Félix Alvarez Celleruelo. También se ha servido el Rey promover en el regimiento de infantería d</t>
  </si>
  <si>
    <t>de Uribe, Juan Antonio</t>
  </si>
  <si>
    <t>Juan Antonio de Uribe</t>
  </si>
  <si>
    <t>ción de la catedral de Santiago de Cuba, vacante por muerte de D. Francisco Antonio Castellanos , á D. Juan Antonio de Uribe, Secretario, de Cámara del R. Obispo que fue de Puerto-Rico D. Fr. Juan Bautista de. Zengotica. Fn ia extracción de la Real lotería ejecutada el lunes 4 del corlíente, salieron lo</t>
  </si>
  <si>
    <t>de Uriz, Joaquín Xavier</t>
  </si>
  <si>
    <t>Joaquín Xavier de Uriz</t>
  </si>
  <si>
    <t>ombrar para ei Arcedianato de Tabla, Dignimdad de la catedral de Pamplona, vacante por promoción de D. Joaquín Xavier de Uriz al Priorato del monasterio de Roncesvalles, á D. Domingo Bernedo: para la Canongía de la Metropolitana de Santiago, vacante por fallecimiento de D. Jorge Cisneros, á D. Pedro de S</t>
  </si>
  <si>
    <t>de Urquidi, Juan</t>
  </si>
  <si>
    <t>Juan de Urquidi</t>
  </si>
  <si>
    <t>á Teniente al Subteniente de granaderos D. Manuel Adam; á Subteniente de granaderos al de fusileros D. Juan de Urquidi, y á Subteniente de bandera al Cadete D. Joseph Villante. El Rey se ha servido conferir la Comandancia del batallón de Milicias disciplinadas de Pardos de Valencia, en la provinci</t>
  </si>
  <si>
    <t>de Urraza, Juan Antonio</t>
  </si>
  <si>
    <t>Juan Antonio de Urraza</t>
  </si>
  <si>
    <t>mino-se ha señalado, ante el Sr. D. Manuel Vicente de Torres Cónsul, y por la escribanía dd mero de D. Juan Antonio de Urraza, por sí ó su procurador con poder bastante a deducá r sus respectivas acciones, y decir y exponer lo que tengan por conveniente en el juicio d£ dicha testamentaría. Quien quisiere</t>
  </si>
  <si>
    <t>ilinos que la ocupan. Quien quisiere hacer postura acuda ante dicho Señor y escribanía de número de,D. Juan Antonio de Urraza. Reflexiones sobre la naturaleza, ó consideraciones de las obras de Dios en el «arden natural, escritas en aleman para todos los dias del año por el célebre M. C. C. Sturm, traduc</t>
  </si>
  <si>
    <t>r las que tenga. Quien quisiere hacer mejora acuda ante dicho Señor por Ja escribanía de! número de D. Juan Antonio de Urraza. Quien quisiere hacer mejora á 61 pedazos de tierra, su caber 140 fanegas, 10 celemines y 14 estadales, sitas en los dos Carabancheles, Getafe y Villaverde, tasadas últimamente en</t>
  </si>
  <si>
    <t>el de Torres , del Consejo de S. M., Teniente Corregidor de esta ¡villa, y escribanía del número de D. Juan Antonio de Urraza, se ha rematado una casa, sita en la calle de Cañizares, núm. 10,manz. 156, que tiene 7684 pies de sitio, tasada en 243,124 rs. , en la cantidad de 275S) rs., los 30S) en moneda m</t>
  </si>
  <si>
    <t>1044 ye hacer mejora acuda ante S. S. y escribanía del número de D. Juan Antonio de Urraza, Se vende la hacienda titulada de Corralejo, situada en término y .jurisdicción de la villa de Ocaña, que consiste en una casa principal,con todas sus oficinas correspondientes, v</t>
  </si>
  <si>
    <t>de Urruchi, Ángel</t>
  </si>
  <si>
    <t>Ángel de Urruchi</t>
  </si>
  <si>
    <t>ntes, pastos de invierno y verano. Quien quisiere entrar en el todo concurra á tratar de ajuste con D. Angel de Urruchi, en.Madrid, que vive en la calle de Barrionuevo,numero 25, quarto segundo. Las mugeres ilustres, ó arengas hcroycas: por Mr. Escuderil 2 tomos en 8.®, á 20 rs. en pasta.rzr Tratad</t>
  </si>
  <si>
    <t>de Urrutia y las Casas, Joaquín</t>
  </si>
  <si>
    <t>Joaquín de Urrutia y las Casas</t>
  </si>
  <si>
    <t>ra una Canongía de la catedral de Cuenca, vacante por fallecimiento de D. Felipe López de Pinedo, á D. Joaquín de Urrutia y las Casas: para otra de la de Sigüenza, vacante por muerte de D. Antonio Muñoz, á D. Judas Joseph Romo; y para una Capellanía llamada de los Coronas de la parroquia de S. Miguel de la ciuda</t>
  </si>
  <si>
    <t>Cuenca, vacante por fallecimiento de D. Felipe López de Pinedo, y por haberse excusado á admitirla D. Joaquín de Urrutia y las Casas, á Don Pedro María Loy Amaya de Lanzarote: para la de la de Guadix, vacante por promoción de D. Andrés de Amaya al Priorato de la misma, á D. Cárlos Marín: para la de la de S. Hip</t>
  </si>
  <si>
    <t>de Urrutia, Joseph</t>
  </si>
  <si>
    <t>Joseph de Urrutia</t>
  </si>
  <si>
    <t>allará á 3 rs. en la librería de Castillo, frente á las gradas de S. Felipe. Retrato del Excmo. Sr. D. Joseph de Urrutia, Capitán é Ingeniero General de Jos Reales exércitos. Se vende á 6 rs. en la librería de Castillo, frente á las gradas de S. Felipe, de Escribano, calle de las Carretas, y en el p</t>
  </si>
  <si>
    <t>de Urrutia, Manuel Joseph</t>
  </si>
  <si>
    <t>Manuel Joseph de Urrutia</t>
  </si>
  <si>
    <t>ervido nombrar para la plaza de Oidor de la Real Audiencia dé México , vacante por fallecimiento de D. Manuel Joseph de Urrutia , á D. Joaquín de Mosquera y Figueroa , Alcalde del crimen de la misma Audiencia. , Quien quisiere comprar una casa sita en la calle de la Montera, núm. 39, manz. api , que tiene</t>
  </si>
  <si>
    <t>de Urtasun, Manuel</t>
  </si>
  <si>
    <t>Manuel de Urtasun</t>
  </si>
  <si>
    <t>te por premoción de D. Ramón López Pelegrin á la Dignidad de Chantre de la catedral de Cartagena, á Don Manuel de Urtasun^ con la ■obligación precisa y personal residencia , y la de ayudar al Párroco .en rsu ministerio : para otro Reneátcio residencial</t>
  </si>
  <si>
    <t>de Uruñueta, Tomás Manuel</t>
  </si>
  <si>
    <t>Tomás Manuel de Uruñueta</t>
  </si>
  <si>
    <t>a Vara de Alcalde mayor del Gobierno .de la ciudad de Mecida, territorio de la orden de Santiago, á Don Tomas Manuel de Uruñueta: para otra del Gobierno de la ciudad de Almagro, territorio de la orden de Calatrava, á D. Juan Alvarez de Sot amayar, ambas de segunda clase: para otra del Gobierno de la ciudad</t>
  </si>
  <si>
    <t>de Valenzuela Prado, Fernando María</t>
  </si>
  <si>
    <t>Fernando María de Valenzuela Prado</t>
  </si>
  <si>
    <t>árcito , y D. Juan ¿oseph de Aranda, Maestrante, concurriendo también á estas considérales expensas D. Fernando María de Valenzuela Prado, Director de este cuerpo económico, D. Joseph Martínez de Mazas, Dean de esta santa Iglesia, D. Joseph Gómez, Arcediano de Jaén, D. Fernando de Aranda» Maestrante, y el esmero del</t>
  </si>
  <si>
    <t>de Valladares, Pedro</t>
  </si>
  <si>
    <t>Pedro de Valladares</t>
  </si>
  <si>
    <t>Reales ‘hospicios- D&lt; Jiuii García Puerta, y por la secretarla de ellos y esceibaníade provincia dc D. Pedro de Valladares &gt; en «1 termino de 30 días. &gt; A toñseqíilfccia de los Reales decretos Se está subastando una casa sita en la talle de Segovia, níim. 1, matiz. *87. comprehensiva de 1115J pies sup</t>
  </si>
  <si>
    <t>hospicios D. Luis García Puerta , por la secretaría de ellos y escribanía de provincia deí cargo de D. Pedro de Valladares , que se admitirán las que se hagan siendo arregladas; en inteligencia de que para su remate está señalado el dia 18 de Abril próximo venidero, entre n y 1 2 de su mañana, en el R</t>
  </si>
  <si>
    <t>aguno, de que conoce el Sr. Alcalde D. Alfonso Duran y Barazabal, por la escribanía de provincia de D. Pedro de Valladares , se hizo tns-, tanda por algunos á efecto de que se celebrase otra general, la qual ha estimado dicho Sr. Alcalde, señalando para ella ¿1 dia 27 de Mayo próximo venidero, á las n</t>
  </si>
  <si>
    <t>291 , que tiene 701 2 pies de sitio , valuada en 433,103 rs., acuda á la escribanía de provincia de D. Pedro de Valladares. Para el'remate de la provisión de víveres del exército, la de esta corte, sitios Reales y cacerías, la de los presidios de Ceuta, Melilla, Peñón, y Alhucemas , y la de la Real ar</t>
  </si>
  <si>
    <t>o verificará ante el Sr. Alcalde de casa y corte D. Alfonso Duran por la escribanía de provincia de D. Pedro de Valladares, en el término de 20 dias. En el lugar de Navalucillo y Talavera, arzobispado de Toledo, que se compone de 400 Vecinos , se halla vacante la,plaza de Médicoestá dotada con 7% rs.</t>
  </si>
  <si>
    <t>Alfonso Duran, del Consejo de S. M. ,su Alcalde de casa-y corte,y por la escribanía de provincia de D. Pedro de Valladares que se admitirán las posturas que se hicieren siendo arregladas, y conteniendo la clase de moneda en que se ha de facer el pago, y para su remate se ha señalado el dia 27 del corr</t>
  </si>
  <si>
    <t>spicios D. Luis García Puerta , y por la secretaría de ellos y escribanía de provincia del cargo de D. Pedro de Valladares, en el término de 30 días, dentro del qual se admitirán las posturas y mejoras que se hagan. Gramática francesa para uso de la nación española: por D. Matías de Rueda y J.eon, pre</t>
  </si>
  <si>
    <t>de Valldejuli, Salvador</t>
  </si>
  <si>
    <t>Salvador de Valldejuli</t>
  </si>
  <si>
    <t>l de fusileros D. Ramón Valldejuli, y al de bandera D. Luis Gineti; á Subtenientes á los de bandera D. Salvador de Valldejuli y D. Joseph Arnau , los Cadetes D. Buenaventura Ayesa y D. Manuel del Coro , y los Sargentos primeros de granaderos D. Laureano Vega y D. Lorenzo Bona, y á Subtenientes de bandera á l</t>
  </si>
  <si>
    <t>de Valle, Francisco</t>
  </si>
  <si>
    <t>Francisco de Valle</t>
  </si>
  <si>
    <t>e ha de observarse. —.«.Los comisionados especiales nombrados para este establecimiento, que lo son D. Francisco de Valle, D. Francisco de Bustamante y Guerra y D. Francisco Pastor y Calle, han acordado circular esta noticia para convidar á los literatos; y que en el término de dos meses, puedan pres</t>
  </si>
  <si>
    <t>de Vargas, Santiago</t>
  </si>
  <si>
    <t>Santiago de Vargas</t>
  </si>
  <si>
    <t>D. Antonio Fermín Perez: la del de Murcia ai Capitán del de Córdoba, graduado de Teniente Coronel, D. Santiago de Vargas: la del de Irlanda al Capitañ del de IJltonia D. Miguel Commins: la del de Navarra al Capitán del de Asturias D. Joseph Bodet: la del de Hibernia al Capitán del de Irlanda Eugenio</t>
  </si>
  <si>
    <t>de Varona, Ignacio</t>
  </si>
  <si>
    <t>Ignacio de Varona</t>
  </si>
  <si>
    <t>Príncipe, en la isla de Cuba, se ha servido el Rey promover á Capitán de granaderos al de fusileros D. Ignacio de Varona; á Capitanes á los Subtenientes D. Agustin de Velasco, de granaderos, D. Serapio de Varona, D. Pedro Batista y D. Ramón Gelabert, y á Subteniente de granaderos al de fusileros D.</t>
  </si>
  <si>
    <t>de Vassilief, Conde</t>
  </si>
  <si>
    <t>Conde de Vassilief</t>
  </si>
  <si>
    <t>iales piamoriteses, han manifestado en el exércit® ruso, ha mandado S. M. I. al Conde de Vassilief, Ministro de Hacienda, que se les señale una pensión vitalicia; y en conseqiiencía se le han asignado al primero 1500 rublos, y al segundo mil rublos. Stockolmo 28 de Diciembre. H a nombrad</t>
  </si>
  <si>
    <t>de Vedia, Nicolás</t>
  </si>
  <si>
    <t>Nicolás de Vedia</t>
  </si>
  <si>
    <t>os D. Fernando Martínez y D. Pascual Agustín Martínez, y á los de fusileros D. Joseph María Mendez, D. Nicolás de Vedia, D. Joseph Fran</t>
  </si>
  <si>
    <t>de Velasco, Agustin</t>
  </si>
  <si>
    <t>Agustin de Velasco</t>
  </si>
  <si>
    <t>omover á Capitán de granaderos al de fusileros D. Ignacio de Varona; á Capitanes á los Subtenientes D. Agustin de Velasco, de granaderos, D. Serapio de Varona, D. Pedro Batista y D. Ramón Gelabert, y á Subteniente de granaderos al de fusileros D. Domingo de Pina. También ha conferido S. M. ios empleo</t>
  </si>
  <si>
    <t>de Velasco, Bernardo</t>
  </si>
  <si>
    <t>Bernardo de Velasco</t>
  </si>
  <si>
    <t>al dél mismo cuerpo, graduado de Coronel, Di Lorenzo Flood: la del de Ultonia al del de Extremadura D. Bernardo de Velasco: la del de Aragón al del propio cuerpo D. Tomas de Hebia: la del de América al del mismo cuerpo, graduado de Coronel, D. Juan de Dios Alvarez Ordoño: la del de la Princesa al del</t>
  </si>
  <si>
    <t>de Velasco, Juan</t>
  </si>
  <si>
    <t>Juan de Velasco</t>
  </si>
  <si>
    <t>rtazo, graduado de Teniente Coronel: en el de Zaragoza Ayudantía al Teniente, graduado, de Capitán, D. Juan de Velasco: en el de Mallorca Subtenencia al Cadete D. Juan Suarez Arango : en el de Navarra Subtenencia de bandera al Cadete del de Reales Guardias de infantería Española D. Fortunato Cahil</t>
  </si>
  <si>
    <t>de Velasco, Manuel</t>
  </si>
  <si>
    <t>Manuel de Velasco</t>
  </si>
  <si>
    <t>tor:- 7 por el Sr. Marques de Valera: 5 por el. Sr. D. Juan Antonio de Llermosilla : 3 por el socio D. Manuel de Velasco:; y r por. una persona particular , y se diéron también tres premios del mismo valor á un discípulo de la Real academia de S. Gárlcs, y á dos de la escuela de dibuxo erigida en el</t>
  </si>
  <si>
    <t>iedad ,12 el-Excmo. Sr. Arzobispo , Director; 7 el Vice-Director Marques de Valera ; 4 el Archivero D. Manuel de Velasco; uno el socio D. Juan Antonio Morera; 4 el socio D. luán Martínez de Hermosilla, y uno por un particular. A mas de los 41* premios,se dió uno extraordinario á María Ramona Blanc.,</t>
  </si>
  <si>
    <t>de Velasco, Miguel</t>
  </si>
  <si>
    <t>Miguel de Velasco</t>
  </si>
  <si>
    <t>nstancia de pagar en metálico 1500 rs. por el último Real valimiehto. Se desea saber el paradero de D. Miguel de Velasco , hijo de D. Miguel de Velasco, natural de la villa de Fontiveros , provincia de Avila, el qual desde el año de 1700 se ausentó sin saber de su paradero. La persona que tenga algu</t>
  </si>
  <si>
    <t>de Verea y Cornejo, Francisco</t>
  </si>
  <si>
    <t>Francisco de Verea y Cornejo</t>
  </si>
  <si>
    <t>: para la de la de Villarejo de Fuentes á D. Joseph de Abreu y del Moral:, para la de la de Yecla á D. Francisco de Verea y Cornejo; y para la die la de Bodonal, que este dexa, á D. Félix Antonio de. Ramos. También se ha servido; S. M. nombrar para la Vara de Alcalde mayor de la villa de Caraváca, de tercera c</t>
  </si>
  <si>
    <t>de Vergara, Joseph</t>
  </si>
  <si>
    <t>Joseph de Vergara</t>
  </si>
  <si>
    <t>referido Memige á D.1 Sebastian Rodríguez Xaramillo, Medio-Racionero de ella; y para esta resulta á D. Joseph de Vergara, Gura-Rector de españoles del Sagrario de la misma metropolitana. Asimismo se ha servido S. M. nombrar para una plaza de Oidor de Id Real Audiencia del Cuzco, vacante por jubilaci</t>
  </si>
  <si>
    <t>de Vicuña, Christóbal</t>
  </si>
  <si>
    <t>Christóbal de Vicuña</t>
  </si>
  <si>
    <t>fícente Torres, del Consejo de S. M., Teniente Corregidor de esta villa, y escribanía del número de D. Christóbal de Vicuña, se ha vuelto á publicar el Título de Castilla, que para su remate estaba señalado el dia 29 de Noviembre último , el que se rematará el dia 23 del corriente, de doce á una, en la</t>
  </si>
  <si>
    <t>de Vila y Camps, Antonio</t>
  </si>
  <si>
    <t>Antonio de Vila y Camps</t>
  </si>
  <si>
    <t>y Asistentes los limos. Sres. Don Francisco de la Cuerda, del Consejo de la suprema Inquisición, y Don Antonio de Vila y Camps, Obispo de Albarracin; y Padrino el Excmo. Sr. Duque de Medinaceli y Santisteban, en cuyo nombre asistió á este acto el Excmo.. Sr. Marques de Cogolludo, Gentilhombre de Cámara de</t>
  </si>
  <si>
    <t>de Vildosola, Antonio Juan</t>
  </si>
  <si>
    <t>Antonio Juan de Vildosola</t>
  </si>
  <si>
    <t>e A rellano, vecino y del comercio de la ciudad de Sevilla , remitió en 15 de Octubre de este ano á D. Antonio Juan de Vildosola, del comercio de Bilbao , tres vales Reales de 300 pesos,de la creación de i.° de Septiembre, núms. 16631,50864 y 60845 ; los que se han extraviado , y se suplica á la persona que</t>
  </si>
  <si>
    <t>de Villa y Torre, Joseph</t>
  </si>
  <si>
    <t>Joseph de Villa y Torre</t>
  </si>
  <si>
    <t>ión de dicho Don Francisco Ibañez de Leyva á otra de igual clase de la Audiencia de Extremadura , á D. Joseph de Villa y Torre. Igualmente ha venido S. M. en nombrar para el Corregimiento de letras ae la ciudad de Lorca, vacante par promoción de D. Torquato Antonio Collado á la plaza de Teniente segundo d</t>
  </si>
  <si>
    <t>de Villaba y Mesa, Francisco</t>
  </si>
  <si>
    <t>Francisco de Villaba y Mesa</t>
  </si>
  <si>
    <t>de S. Joseph de a ciudad de Granada: para la Doctoral de la de Málaga , vacantepor tallecimiento de D. Francisco de Villaba y Mesa , á D. Mariano Corrales y Luque, Arcediano Titular de la catedral de Guadix : para la Prestamera dé la parroquial de Villavieja, en el obispado de Ciudad-Rodrigo , yacanté por mue</t>
  </si>
  <si>
    <t>de Villanueva y Pedro Arnal, Juan</t>
  </si>
  <si>
    <t>Juan de Villanueva y Pedro Arnal</t>
  </si>
  <si>
    <t>anada y Córdoba , grabadas por diferentes profesores por los diseños ó planos que de ellas hiciéron D. Juan de Villanueva y Don Pedro Arnal, á 320 rs. =22Estampa del quadro de la alegoría de Carlos in, pintado por Solímena, grabada por D. Manuel Salvador Carmona, en 20 rs. =22Estampa del quadro alegórico de la fundaci</t>
  </si>
  <si>
    <t>de Villena, Fernando Manuel</t>
  </si>
  <si>
    <t>Fernando Manuel de Villena</t>
  </si>
  <si>
    <t>conferido el Gobierno militar y político de la plaza de Alcántara al Coronel D. Fernando Manuel de Villena, Teniente Coronel del regimiento de caballería déla Reyna, segundo de línea.. La Real.sociedad económica de esta corte, que vela, incesantemente por ei fomento de las artesen cumplimiento d</t>
  </si>
  <si>
    <t>de Villers, Lorenzo</t>
  </si>
  <si>
    <t>Lorenzo de Villers</t>
  </si>
  <si>
    <t>gazeta número 60 del 29 de Julio, lo encontró también en las del valle de Aran el Teniente retirado D. Lorenzo de Villers, correspondiente del Real jardín botánico.. Se anuncia al público este descubrimiento para que los de aquella parte de la península puedan procurárselo con mas facilidad. En los e</t>
  </si>
  <si>
    <t>de Viu, Joseph</t>
  </si>
  <si>
    <t>Joseph de Viu</t>
  </si>
  <si>
    <t>ernáez: para una Canongía de la metropolitana de Toledo, vacante por muerte de D. Andrés de León, á D. Joseph de Viu: para la Ración que este dexará en la propia metropolitana á Don Fermín Quadros, Capellán de Coro de la misma: para una Canongía de la colegial de Santillana, diócesis de Santande</t>
  </si>
  <si>
    <t>de Vivanco, Manuel Estéban</t>
  </si>
  <si>
    <t>Manuel Estéban de Vivanco</t>
  </si>
  <si>
    <t>nso de D. Francisco Xavier de la Fita y Camón al Obispado de la misma iglesia, al Arcediano de ella D. Manuel Estéban de Vivanco : para esta Dignidad al Maestrescuela</t>
  </si>
  <si>
    <t>de Voronzow, Conde</t>
  </si>
  <si>
    <t>Conde de Voronzow</t>
  </si>
  <si>
    <t>e Baviera el alumbramiento de la Reyiia de Suecia. Londres 20 de Diciembre. E 1 Conde de Voronzow, Ministro de Rusia, ha llegado á esta capital. Igualmente se halla aquí de vuelta Mr. Moore, Plenipotenciario en Suiza. ' Mr. Dundas ha sido creado Lord con el título de Vizconde de Mel-. v</t>
  </si>
  <si>
    <t>de Vrana, Joaquín</t>
  </si>
  <si>
    <t>Joaquín de Vrana</t>
  </si>
  <si>
    <t>402 cisco de Vera, D. Juaft Carvájo.y D. Joaquín de Vrana; á Subtenientes de granaderos á los de fusileros D. Joseph Vergaña, D. Mauricio Fornell y D. Joseph Vila; y á Subtenientes á los Cadetes D. Manuel Rodrigo, D. Francisco Joseph Cel</t>
  </si>
  <si>
    <t>de Wuctemberg, Luís (príncipe)</t>
  </si>
  <si>
    <t>Príncipe Luís de Wuctemberg</t>
  </si>
  <si>
    <t>es del exército, de quien es xefe, y el regimiento de Guardias de.á.caballo de qúe es Coronel, y el Príncipe Luís de Wuctemberg á la cabeza de su regimiento de Guardias de húsares. Durante el Te Deum se hicieron tres descargas, una de fusilería executada por 22 batallones, y las otras dos por la artillería</t>
  </si>
  <si>
    <t>de Xado, Manuel Cipriano</t>
  </si>
  <si>
    <t>Manuel Cipriano de Xado</t>
  </si>
  <si>
    <t>D. Cayetano Carcer; y en el de Reales Guardias Walonas á Alféreces de granaderos á los de fusileros D. Manuel Cipriano de Xado y D. Agustin de Mena. Los tenedores de Vales dinero de la Caxa de Consolidación de i.® de Enero de 1802 que hasta ahora no hayan acudido á renovarlos ó percibir su importe en metálico</t>
  </si>
  <si>
    <t>de Zalles, Nicolás</t>
  </si>
  <si>
    <t>Nicolás de Zalles</t>
  </si>
  <si>
    <t>y 294885; y habiéndose extraviado, se suplica al sugeto que sepa de ellos los entregue en Madrid á D. Nicolás de Zalles, en S. Sebastian á dicho Aramburu, y en Cádiz al referido D. Matías de Mendiburu. Quien quisiere comprar 71 fanegas, un celemín y un quartlllo de tierra de p.an llevar en 18 pedaz</t>
  </si>
  <si>
    <t>de Zaragoza, Sebastián</t>
  </si>
  <si>
    <t>Sebastián de Zaragoza</t>
  </si>
  <si>
    <t>ismo cuerpo, graduado dé Coronel, D. Roque Amia: la dél de las Ordenes Militares al del de la Reyna D. Sebastian de Zaragoza; y la del de Voluntarios de Castilla al Teniente Coronel agregado al de Mallorca , graduado de Coronel, EL Estéban Porlierl El Consejo, á consulta de la Comisión gubernativa de Co</t>
  </si>
  <si>
    <t>de Zcrella, Manuel</t>
  </si>
  <si>
    <t>Manuel de Zcrella</t>
  </si>
  <si>
    <t>sus reloxes sin necesidad de reloxero. = Tratado general y matemático de reloxería: compuestos por Don Manuel de Zcrella, reloxero de cámara de S. M. Se hallarán en casa de la viuda del autor, carrera de S. Gerónimo, núm. 9,’quarto principal, y en las librerías do Quiroga y de la viuda de Cerro. SUP</t>
  </si>
  <si>
    <t>de Zubiaga, Pedro</t>
  </si>
  <si>
    <t>Pedro de Zubiaga</t>
  </si>
  <si>
    <t>os haya encontrado se servirá entregarlos en Alcalá de Henáres á D. Domingo de Calzada, en Madrid á D. Pedro de Zubiaga , en Cádiz á D. Domingo de He ras , en Barcelona á D. Joseph Castañer, y en Santander á D. Matías de Heras Soto. Quien quisiere comprar una casa en la cálle de la Flora de esta vi</t>
  </si>
  <si>
    <t>de Zulayca, Juan</t>
  </si>
  <si>
    <t>Juan de Zulayca</t>
  </si>
  <si>
    <t>de que por sí, ó persona en su nombre, en el término preciso de 2 meses, acudan á su testamentario D. Juan de Zulayca , vecino de esta corte, junto á la parroquia de S. Pedro , que justificando la indentidad de su persona se la entregará dicho legado , y de lo contrario le parará el perjuicio que</t>
  </si>
  <si>
    <t>de Zuloaga, Santiago</t>
  </si>
  <si>
    <t>Santiago de Zuloaga</t>
  </si>
  <si>
    <t>a Tesorería de la de Caracas, vacante por muerte de D. Domingo Antonio Lander, al Canónigo Doctoral D. Santiago de Zuloaga: para la Canongía penitenciaria de la catedralde Cartagena , vacante por ascenso de D. Benito Joseph Lambí á la Tesorería, á D. Juan Marimon Henriquez, Magistral de la catedral de</t>
  </si>
  <si>
    <t>de Zumal, Miguel Antonio</t>
  </si>
  <si>
    <t>Miguel Antonio de Zumal</t>
  </si>
  <si>
    <t>ia de Asturias por la promoción de D. Joseph Salvador López del Pan á otra de Oidor de la Coruña, á D. Miguel Antonio de Zumal^carregui.” El Rey se ha servido conceder en el regimiento de infantería Inmemorial del Rey Tenencias al Subteniente de granaderos D. Manuel de Meneses, y al Teniente de granaderos</t>
  </si>
  <si>
    <t>de Zumalave, Miguel Ramón</t>
  </si>
  <si>
    <t>Miguel Ramón de Zumalave</t>
  </si>
  <si>
    <t>. S. M. se ha servida nombrar para la Canongía de la catedral de León, vacante por fallecimiento de D. Miguel Ramón de Zumalave, á D. Antonio Treviño: para la Dignidad de Chantre de la catedral de Lugo, vacante por promoción de D. Antonio de Lence al Deanato de la misma, á D. Bartolomé Lorenzo Cienfuegos:</t>
  </si>
  <si>
    <t>de Zurita, Fernando Juan</t>
  </si>
  <si>
    <t>Fernando Juan de Zurita</t>
  </si>
  <si>
    <t>e bandera de los de Sigiienza, Sevilla, Bujalance, Chinchilla y Cuenca á D. Francisco Joseph Romo , D. Fernando Juan de Zurita ,' D. Juan: Joseph de Lara y Pedrajas, D. Rafael Moxica y Tálense y D. Benito Ramos Novillo. S. M. ha nombrado para el empleo de Alguacil mayor de la Real Audiencia de Valencia á</t>
  </si>
  <si>
    <t>De, Almirante</t>
  </si>
  <si>
    <t>Almirante De</t>
  </si>
  <si>
    <t>de las obras marítimas. A la derecha: i.°Un - bote con bandera holandesa, llevando á bordo al Vdce-Almirante De- winter , Comandante de las fuerzas navales de la República bátava en el . Mediterráneo, sus Capitanes y su Estado mayor. 2.0 El bote del xefe .militar, llevando á bordo los miembr</t>
  </si>
  <si>
    <t>Decrés</t>
  </si>
  <si>
    <t>paña,poniéndole buena guarnición. a Dunkerque 22 de Junio. -4ayer,llegó aquí el ciud. Decrés, Ministro de la Marina, y hoy ha visitado él puerto y exáminado todos los objetos relativos á su ministerio* Va a partir inmediatamente para visitar toda la co</t>
  </si>
  <si>
    <t>Dejean</t>
  </si>
  <si>
    <t>en St. Cloud. El ciud. Lacepede, Senador, ha sido,nombrado Gran Canciller; y el ciud. Dejean, Director de la Administración de la Guerra, Tesorero mayor. . , ’ ‘ Madrid 1g de Setiembre, E l Rey ha venido en admitir, la renuncia que ha hecho D. Francisc</t>
  </si>
  <si>
    <t>Dekker, Almirante</t>
  </si>
  <si>
    <t>Almirante Dekker</t>
  </si>
  <si>
    <t>cias el General Dundas y el Vice-Almirante Roger Cartis, por parte de S. M. Británica y y el Contra-Almirante Dekker, Comandante en xefe de la esquadra bátava, y el Coronel Henri, igualmente autorizados por S. E. el Comisario general de</t>
  </si>
  <si>
    <t>del Arco Agüero, Felipe</t>
  </si>
  <si>
    <t>Felipe del Arco Agüero</t>
  </si>
  <si>
    <t>ería Española D. Manuel Rodríguez Perez, Don Fráncisco Gregorio, D. Tomas Aguirre, D. Juan Ponsich, D. Felipe del Arco Agüero, D. Joseph Sánchez Tagle, D. Francisco Xaramillo, Don Dionisio López Pinto, D. Mariano Carrillo de Albornoz, D. Francisco Justis ,D. Bernardo Landaburu, D. Diego Rejón de Silva y</t>
  </si>
  <si>
    <t>del Barco y la Cendeja, Pedro</t>
  </si>
  <si>
    <t>Pedro del Barco y la Cendeja</t>
  </si>
  <si>
    <t>nguren, D. Pablo Ventades y Martínez, D. Agustín Salazar y Allendelagua, Don Juan Pusterla y Lerin, D. Pedro del Barco y la Cendeja, D. Francisco Saravia y Zuazo, D. Manuel Cebriaa y Castro, D. Antonio Esparza Go* méz de Bonilla, D. Vicente Cabeza de Vaca y D. Andrés Amat y Toftosa; habiendo igualmente nombrad</t>
  </si>
  <si>
    <t>del Barco, Pedro</t>
  </si>
  <si>
    <t>Pedro del Barco</t>
  </si>
  <si>
    <t>yer zarpó de este puerto la corbeta María Pita, al mando del Teniente de Fragata de la Real armada D. Pedro del Barco, llevando á su bordo los individuos de la expedición filantrópica destinada á propagar ea ■América y Filipinas el precioso descubrimiento de. la vacuna. No se ha Omitido precaució</t>
  </si>
  <si>
    <t>del Barrio, Felipe</t>
  </si>
  <si>
    <t>Felipe del Barrio</t>
  </si>
  <si>
    <t>igación, quando salió de su país, y habrá mas de 50 años. La referida cantidad se halla en poder de D. Felipe del Barrio, vecino de dicha ciudád de Panamá , á quien podrán acudir los interesados con la debida justificación. Elementos de botánica, y sistema sexual de las plantas del Pr„ Plenk, Consej</t>
  </si>
  <si>
    <t>del Barrio, Rafael</t>
  </si>
  <si>
    <t>Rafael del Barrio</t>
  </si>
  <si>
    <t>o eran de los regimientos de infantería de Granada, Mallorca, Príncipe y Voluntarios de°Castilla; á D. Rafael del Barrio, D. Ignacio Ordovas y D. Joaquin Biado, Cadetes de los de Murcia, Mallorca y Compañía fixa de Rosas; í D. Vicente Sánchez y D. Joaquin de la Cruz, Cadetes de los de caballería de</t>
  </si>
  <si>
    <t>del Busto, Juan</t>
  </si>
  <si>
    <t>Juan del Busto</t>
  </si>
  <si>
    <t>efectos que conducía de Buenos-Ayres la fragata correo de S. M. nombrada la Cantabria, del mando de D. Juan del Busto, que á su regreso de aquellos dominios naufragó el día 11 de Octubre del año pasado de 1802; y para que llegue á noticia de los interesados á quienes pueda convenir acreditar sus</t>
  </si>
  <si>
    <t>del Campo y Rivas, Francisco</t>
  </si>
  <si>
    <t>Francisco del Campo y Rivas</t>
  </si>
  <si>
    <t>ha servido nombrar para una Canongía de la metropolitana de Santa Fe, vacante por fallecimiento de D. Francisco del Campo y Rivas, á D. Martin Gil y Garcés, Racionero mas antiguo de ella; y para esta resulta á D. Luis Fernando Sarmiento , Cura de Ocamonte , en dicho arzobispado. ' También se ha servido S. M.</t>
  </si>
  <si>
    <t>del Campo, Nicolás</t>
  </si>
  <si>
    <t>Nicolás del Campo</t>
  </si>
  <si>
    <t>ñía al Ayudante, graduado de Capitán, D. Tomas Falcó; y Ayudantía al Teniente, graduado de Capitán, D. Nicolás del Campo: en el de Calatrava Ayudantía al primer Teniente reformado D. Ramón Ramal; el empleo de Alférez al Portaestandarte D. Leandro Quirós, y Portaestandartes al Cadete D. Antonio Laso</t>
  </si>
  <si>
    <t>del Castillo, Antonio</t>
  </si>
  <si>
    <t>Antonio del Castillo</t>
  </si>
  <si>
    <t>Granada Tenencia al Subteniente D. Juan Zavalete: en ei de Valencia Subtenencia al Sargento primero D. Antonio del Castillo: en el Fixo de Ceuta Compañía de granaderos al Capitán D. Joseph Bautista: en el de Málaga Tenencias á los Subtenientes de granaderos Don Francisco Contreras y D. Rafael del Canto</t>
  </si>
  <si>
    <t>del Castillo, María</t>
  </si>
  <si>
    <t>María del Castillo</t>
  </si>
  <si>
    <t>e de' D. Isidro Martínez de Espinosa , marido que fué de Doña Antonia Agustina de Agramont, hija de Dona María del Castillo, acuda á D. Francisco de Aguilar y Romero, que vive calle del León , casa del cotillero, quien dará noticia de ciertos papeles que pueden ser muy útiles á esta familia. Se halla v</t>
  </si>
  <si>
    <t>del Corral, Francisco Antonio</t>
  </si>
  <si>
    <t>Francisco Antonio del Corral</t>
  </si>
  <si>
    <t>. 452 vecino de México, á entregar á D. Francisco Antonio del Corral, vecino de Castro, en la provincia de Líébana ; y medíante que en medio de haberle escrito no Jia comparecido el interesado, se da este aviso para que llegue á su’noticia, y ocurj</t>
  </si>
  <si>
    <t>del Corral, Ignacio Andrés</t>
  </si>
  <si>
    <t>Ignacio Andrés del Corral</t>
  </si>
  <si>
    <t>ahorra, vacante por promoción de D. Joseph Emeterio de Tovar á una Ración de la misma igle-r sia, á D. Ignacio Andrés del Corral. . En la Compañía Americana del Real cuerpo de Guardias de Corpa ha conferido el Rey el empleo de Cadete de numero al supernumerario D. Francisco Arteaga, y el de Supernumerario a</t>
  </si>
  <si>
    <t>del Corralj, Agustín</t>
  </si>
  <si>
    <t>Agustín del Corralj</t>
  </si>
  <si>
    <t>r de D. Sebastian de Aldama, del comercio de dicha ciudad, 4© pesos fuertes, embarcados de orden de D. Agustín del Corralj</t>
  </si>
  <si>
    <t>del Moral, Francisco Ignacio</t>
  </si>
  <si>
    <t>Francisco Ignacio del Moral</t>
  </si>
  <si>
    <t>ra el Arcedianato de Alicante, Dig-. nidad de la catedral de Orihuela, vacante por fallecimiento de D. Francisco Ignacio del Moral, á D. Juan de Castañeda y Quixano: para una Canongía que se halla vacante en la propia catedral de Orihuela, por muerte de D. Juan Vicent, á D. Joseph Pujante y García, Cura de la</t>
  </si>
  <si>
    <t>del Moral, Pedro Manuel</t>
  </si>
  <si>
    <t>Pedro Manuel del Moral</t>
  </si>
  <si>
    <t>nado nombrar para la Dignidad de Chantre de la catedral de Cartagena , vacante por fallecimiento de D. Pedro Manuel del Moral, á D. Ramón López Pelegrin, pensionándola en BS rs. al año á favor de la Real capilla: para la Dignidad de Prior de la catedral de Osma, pensionada en la misma cantidad á favor de</t>
  </si>
  <si>
    <t>del Olmo, Antonio</t>
  </si>
  <si>
    <t>Antonio del Olmo</t>
  </si>
  <si>
    <t>presidente. Se concluyó la junta con un elogio á nuestros augustos Soberanos, que leyó el académico D. Antonio del Olmo; y todo mereció la aprobación y aplauso de las personas ilustres y de distinción que honraron el acto con su asistencia. - . Fu virtud de facultad concedida por el Rey Ntro. Sr. (</t>
  </si>
  <si>
    <t>del Olmo, Manuel</t>
  </si>
  <si>
    <t>Manuel del Olmo</t>
  </si>
  <si>
    <t>336 para otra Canongía de la colegial de Ubedadiócesis de Jaén, vacante por fallecimiento de D. Manuel del Olmo, á D. Diego María Madueño v Prado : para otra Canongía de la colegial de Uxijar, en el arzobispado Granada, vacante por muerte de D. Miguel Suarez Donayre, á D. Juan Joseph Rodríg</t>
  </si>
  <si>
    <t>del Peral Duque, Antonio Francisco</t>
  </si>
  <si>
    <t>Antonio Francisco del Peral Duque</t>
  </si>
  <si>
    <t>isco Florez Viilamil: para la Ración que este obtiene en la misma catedral:, y resultará vacante, á D. Antonio Francisco del Peral Duque: para una Ración de la catedral de Avila, vacante -por promoción de D. Raymundo Martin Estebe á una Canongía de lra misma catedral, á D. Antonio Ximenez cíe Arguello; y para otra</t>
  </si>
  <si>
    <t>del Peral, Juan Antonio</t>
  </si>
  <si>
    <t>Juan Antonio del Peral</t>
  </si>
  <si>
    <t>ura: para otro Beneficio de Castro y Espejo, vacante en ei obispado de Córdoba por fallecimiento de D. Juan Antonio del Peral, á D. Gabriel Girón y Coca, con precisa y personal residencia, y con Ja aplicación de la quarta parte de su producto á favor de los Guias de. Castro del Rio, de aquella diócesis:</t>
  </si>
  <si>
    <t>del Pulgar y Pulgar, Joseph</t>
  </si>
  <si>
    <t>Joseph del Pulgar y Pulgar</t>
  </si>
  <si>
    <t>os D. Antonio Martínez y D. Rafael Saravia: á Teniente de granaderos del de Granada al de fusileros D. Joseph del Pulgar y Pulgar: á Tenientes de los de Santiago y Chinchilla á D. Benito de Ponte y D. Sebastian Velasco, Subtenientes de granaderos de los mismos; y ha nombrado Subtenientes de bandera de los de</t>
  </si>
  <si>
    <t>del Rio, Joseph</t>
  </si>
  <si>
    <t>Joseph del Rio</t>
  </si>
  <si>
    <t>utando las operaciones de detall necesarias para describir bien estos parages el Capitán de Fragata D. Joseph del Rio. A la exploración de las costas occidentales del seno Mexicano y al exámen de la sonda de Campeche, se han dedicado ya los bergantines guarda-costas del mando del Capitán de Navio</t>
  </si>
  <si>
    <t>del Rivero Ceva, Joseph</t>
  </si>
  <si>
    <t>Joseph del Rivero Ceva</t>
  </si>
  <si>
    <t>hiz; y á Capitán segundo al Teniente D. Joaquín Vereterra. En atención á los méritos y servicios de D. Joseph del Rivero Ceva— líos , Administrador general de la Real renta de la lotería en Barcelona, se ha servido el Rey distinguirle con los honores de Contador de exército. En América. El Rey. se ha ser</t>
  </si>
  <si>
    <t>del Sastre, Domingo</t>
  </si>
  <si>
    <t>Domingo del Sastre</t>
  </si>
  <si>
    <t>nga y D. Cayetano Taforo: en el de Sevilla Compañía al Teniente de granaderos, graduado de Capitán, D. Domingo del Sastre: en el de Valencia Subtenencia de bandera al Sargento primero de granaderos D. Christóbal Alfonso: en el de Murcia Tenencia al Subteniente de granaderos D. Mariano Flernandez; y S</t>
  </si>
  <si>
    <t>del Seixo, Juan María</t>
  </si>
  <si>
    <t>Juan María del Seixo</t>
  </si>
  <si>
    <t>to de Deza, Dignidad de la catedral de Lugo, vacante por renuncia de D. Antonio Ramón de Sobrado, á D. Juan María del Seixo: para el Arciprestazgo de Uceda; en la diócesis de Toledo , vacante por muerte de D. Joseph de Asenjo , á D. Felipe Montero : para un Beneficio fundado baxo la invocación de todos</t>
  </si>
  <si>
    <t>del Thoso, Miguel</t>
  </si>
  <si>
    <t>Miguel del Thoso</t>
  </si>
  <si>
    <t>y se ha servido promover en el esquadron de Dragones' de Luzón, en Filipinas, á Teniente al Alférez D. Miguel del Thoso; á Alférez al Portaguión D. Joseph Jordán, y á Portaguión al Cadete D. Tomas Peredo. Por el Ministerio de Hacienda se ha comunicado con fecha de 17 del corriente la Real orden que</t>
  </si>
  <si>
    <t>del Toro y Di Mauricio Blanco, Joseph Antonio</t>
  </si>
  <si>
    <t>Joseph Antonio del Toro y Di Mauricio Blanco</t>
  </si>
  <si>
    <t>nco; á Subtenientes de fusileros y de bandera al Cadete D;BUs del Cantillo, á Dort Alexandro Tovar, D, Joseph Antonio del Toro y Di Mauricio Blanco.El Consejo, á Consulta de la Comisión gobernativa de Consolidación de Vales, y con aprobación de S. M. , ha acordado la qumquagesimanona amortización de Vales, según se ha publica</t>
  </si>
  <si>
    <t>del Vado, Jacinto</t>
  </si>
  <si>
    <t>Jacinto del Vado</t>
  </si>
  <si>
    <t>cen el Portero, linda a oriente con camino qué va por las huertas á Madrid,á mediodía con tierra dé Don Jacinto del Vado y otra de Diego García, su caber 23 fanegas y 6 celemines , tasada cada una á 770 rs. , en 18,095 rs.: otra donde dicen los Nogales y el Colmenar , de una fan. y 3 cel., á 600 rs. ,</t>
  </si>
  <si>
    <t>l mismo pago de la Macharra , llamada de los Majanos, oriente vina de Vicente Gil, poniente y norte D. Jacinto del Vado, con 200 cepas vivas y 1 yo marras, en 498 rs. 24 mrs. Cuyas fincas están tasadas todas juntas en 91,542 rs. 18 mrs., y se ha hecho postura á ellas en 61,029 rs. 12 mrs. en moneda</t>
  </si>
  <si>
    <t>del Valle, Francisco</t>
  </si>
  <si>
    <t>Francisco del Valle</t>
  </si>
  <si>
    <t>rito de la Real de San Fernando. Se hallará en el despacho de la calcografía de la imprenta Real. A D. Francisco del Valle, vecino y del comercio de paños de esta corte, se le han extraviado Jos vales siguientes: quatro vales de 300 pesos, creación de Ala-* ro, renovados á su favor, núms. 484150,48798</t>
  </si>
  <si>
    <t>del Valle, Pedro Nicolás</t>
  </si>
  <si>
    <t>Pedro Nicolás del Valle</t>
  </si>
  <si>
    <t>mbién ha nombrado S. M. para una plaza de Alcalde de su Real casa y corte, vacante por promoción de D. Pedro Nicolás del Valle á. otra del Consejo de Hacienda , á D. Joaquín Plerranz y-Abaunza. Asimismo se ha dignado nombrar para el Corregimiento de letras de ]a ciudad de Logroño á D. Santiago de Suso y A</t>
  </si>
  <si>
    <t>Delacroix, Carlos</t>
  </si>
  <si>
    <t>Carlos Delacroix</t>
  </si>
  <si>
    <t>s Cambacéres y Eebrun; Ministro del Interior el ciud. Chapthal , al cuidado del ciud. Carlos Delacroix^Prefecto del departamento de las bocas del Rhódano, órgano del reconocimiento de los marselleses. 2.a inscripción. A lar eterna memoria de los hombres valeroso</t>
  </si>
  <si>
    <t>Delahaye</t>
  </si>
  <si>
    <t>ad de las panas, pues no hay en Europa otras mas hermosas. El primer Cónsul vió con mucho gusto que Mr. Delahaye había reunido á su fábrica el establecimiento de filaturas por medio de máquinas, y observó con razón que no pedia prosperar la fábrica de Amiens ni establecerse sólidamente hasta</t>
  </si>
  <si>
    <t>Delassise, Juan</t>
  </si>
  <si>
    <t>Juan Delassise</t>
  </si>
  <si>
    <t>de la Luisiana á Capitanes á ios Tenientes D. Pedro Larronde, D. Martin Palao, D. Gerónimo Yebenes, D. Juan Delassise y D. Luis Piernas , el segundó, tercero y quinto Ayudantes, y el quarto de granaderos; á Ayudan-' tes á los Tenientes D. Joseph Cruzat, D. Domingo Bouligny y D. Igna-! cío Fernandez;</t>
  </si>
  <si>
    <t>Delattre</t>
  </si>
  <si>
    <t>do interinamente el mayor en edad, se procedió á la elección de los oficios. El ciud. Delattre fue elegido Presidente , y los ciudadanos Geoffroy , Dubourg , Y^aublanc y óerviez Secretarios. Entonces el Cuerpo legislativo se declaró definitivamente const</t>
  </si>
  <si>
    <t>Delgado y Moreno, Joseph Andrés</t>
  </si>
  <si>
    <t>Joseph Andrés Delgado y Moreno</t>
  </si>
  <si>
    <t>miento de infantería de Valencia Subtenencia de bandera aí Cadete;del .cuerpo veterano de Maracaybo D. Joseph Andrés Delgado y Moreno; y en el de voluntarios de la Corona Tenencia al Subteniente de granaderos D. Antonio Pazos. ..... En el mes de Noviembre último el mayor calor en Madrid fué de 13,7 grados de Rea</t>
  </si>
  <si>
    <t>Delgado y Tomasa Ubon, Miguel</t>
  </si>
  <si>
    <t>Miguel Delgado y Tomasa Ubon</t>
  </si>
  <si>
    <t>bustos y armas de SS. MM., repartiéndose también varios vestidos á las niñas pobres. A los maestros D. Miguel Delgado y Doña Tomasa Ubon , que por su esmero en el adelantamiento de niño* y niñas se hicieron acreedores á la estimación publicarse les dió gracias á nombre de la Real junta, acompañando esta afectuosa d</t>
  </si>
  <si>
    <t>Delgado, Antonio</t>
  </si>
  <si>
    <t>Antonio Delgado</t>
  </si>
  <si>
    <t>zo un discurso sobre la trigonometría: tiene un año y diez meses de servicio. Los de segunda clase: D. Antonio Delgado, igual en ordenanza á los de primera, y enterado en la aritmética y geometría especulativa: tiene un año y quatro meses de servicio. Don Francisco Montenegro, igual al anterior, y</t>
  </si>
  <si>
    <t>D. Miguel Vivaldo* en el de Zaragoza á Subteniente de bandera al Cadete del de infantería de España D. Antonio Delgado: en dicho regimiento de España á Teniente al Subteniente de granaderos D. Francisco Gallardo; y á Subteniente de bandera al Sargento primero de granaderos D. Joaquín Romero; habie</t>
  </si>
  <si>
    <t>Delgado, Tomás</t>
  </si>
  <si>
    <t>Tomás Delgado</t>
  </si>
  <si>
    <t>tería de Puerto-Rico se ha servido el Rey promover á Capitanes á los Tenientes D. Joseph Quiñones , D. Tomas Delgado, D. Valentín Fernandez y D. Agustín Román, los dos primeros de granaderos; á Tenientes de granaderos á los de fusileros D. Manuel Rodríguez y D. Joseph Ramírez; á Tenientes á los</t>
  </si>
  <si>
    <t>Demetrio Romero López</t>
  </si>
  <si>
    <t>r la promoción deD. Nicolás González Bri-ceño á la de igual clase de la metropolitana de Sevilla, á D. Demetrio Romero López, Cura de Velezblanco, del mismo obispado de Almería:</t>
  </si>
  <si>
    <t>Demidoff</t>
  </si>
  <si>
    <t>cio. S. M. ha determinado quai ha de ser el uniforme de los empleados civiles de varias provincias. Mr. Demidoff’, uno de los mas ricos habitantes de Moskow, ha regalado á la universidad su gabinete de historia natural y su biblioteca, dotando en cerca de 100© pesos fuertes la cátedra de hist</t>
  </si>
  <si>
    <t>Dempffle, Francisco Xavier</t>
  </si>
  <si>
    <t>Francisco Xavier Dempffle</t>
  </si>
  <si>
    <t>t al Teniente del mismo D. Félix Meyer: Igual empleo en el de Rutiman al Teniente del propio cuerpo D. Francisco Xavier Dempffle ; el de Ayudante en el mismo regimiento al Teniente D. Gaspar Antonio Schwager; y Subtenencias de granaderos en el de Courten á los Subtenientes de él D. Antonio Bonvin y D. Juan</t>
  </si>
  <si>
    <t>Denon</t>
  </si>
  <si>
    <t>erminó la junta. — Entre los discursos leídos merece particular atención el del ciud. Denon sobre los monumentos antiguos traídos de Italia. Dice „ que ócupado el héroe del siglo en todos los géneros de'gloría, ha exigido de nuestros enemigos en la bo</t>
  </si>
  <si>
    <t>sor de astronomía, que manifestó su opinión sobre la antigüedad del zodiaco dibuxado en Dendara por Mr. Denon. En seguida leyó un discurso el Comadrón Matusewiz. sobre las relaciones esenciales que existen entre la medicina y la cirugía, que reunen ámbas ciencias de un modo inseparable. I</t>
  </si>
  <si>
    <t>Dent</t>
  </si>
  <si>
    <t>óc8 dientes. Mr. Dent promovió la qüestion de comprehender en los impuestos á los extrangeros, y hubo en pro y en contra varios pareceres. Mr. Barbington habló en favor de las providencias proyectadas,</t>
  </si>
  <si>
    <t>Desbureaux, General</t>
  </si>
  <si>
    <t>General Desbureaux</t>
  </si>
  <si>
    <t>urrecciones parciales habían obligado á nuestras tropas á salir de sus quarteles de verano; pero el General Desbureaux derrotó losEandidos, y consiguió restablecer la tranquilidad. El negro Dommage, se rebeló en el arrabal de Jeremías , donde quemó varias casas; pero fué preso y sentenciado á muerte.</t>
  </si>
  <si>
    <t>Desfougeres</t>
  </si>
  <si>
    <t>á Marsella. Este monumento es una hermosa fuente executada por ios dibuxos del ciud. Desfougeres, ingeniero en xefe del departamento: compónese de un pedestal sobre el qual se levanta una coluna antigua de un granito muy bello, y encima una figura de mármo</t>
  </si>
  <si>
    <t>Desnods</t>
  </si>
  <si>
    <t>ado sus intenciones. Los persas han tomado luto por 40 dias. Mr. Dundas, Teniente de ingenieros , y Mr. Desnods, Ayudante de campo del Lord Cavan , han copiado la inscripción de la coíuna llamada comunmente de Pompeyo ,cuyos caracteres estaban de tal modo borrados con el tiempo, que solo en</t>
  </si>
  <si>
    <t>Despard</t>
  </si>
  <si>
    <t>uego ios reos, se les leyc5 el bilí , y se les dixo que presentasen sus abogados para ser probados; Mr. Despard nombró á Mi*. Best j i Mr. .Gurne/ , ambos,</t>
  </si>
  <si>
    <t>Despard, Coronel</t>
  </si>
  <si>
    <t>Coronel Despard</t>
  </si>
  <si>
    <t>, cuyo establecimiento está resuelto definitivamente. , La comisión especial encargada de juzgar al Coronel Despard y demas cómplices ha empezado sus juntas antes de ayer. Mi. Knapp hizo la lectura de la comisión, y después que los 24 vocales, que componían el juzgado , prestaron individualmente el</t>
  </si>
  <si>
    <t>unal en atención á su buena reputación anterior y á los servicios que ha hecho á su país. No dio el Coronel Despard la menor señal de turbación ni pena al oir la</t>
  </si>
  <si>
    <t>demas hombres no permite concederos en esta. Presos! El Señor tenga piedad de vuestras almas.”—_El Coronel Despard hizo la advertencia de no haber seducido ’á ninguno de sus cómplices; y el Lord Ellenborough, que se manifestaba penetrado de aflicción, apoyó la cabeza sobre el banco, y se cubri</t>
  </si>
  <si>
    <t>l cambio, y se adoptó la propuesta del Chanciller del Echiquier. Aun no está decidida la suerte del Coronel Despard. Se dice que et Lord Nelson ha presentado á Mr. Adington una súplica de su parte. Entre tanto el Coronel pasa el tiempo escribiendo, y aun ha pedido le permitan tener un escribien</t>
  </si>
  <si>
    <t>ntinelas y otras varias personas se han encontrado muertas. Londres 20 de Febrero. E 1 suplicio del Coronel Despard y de seis de sus cómplices se verificó el 21 por la mañana con mucho aparato. Todos los puntos inmediatos á la cárcel, y el espacio intermedio hasta el legar del suplicio, estaban guar</t>
  </si>
  <si>
    <t>de D. Manuel Navarro. Contiene en ia parte política: no¿ ticias del Parlamento ingles, y causa del Coronel Despard: acta de mediación del primer Cónsul de Francia entre los partidos.de Suiza-, decreto dando nueva forma al Instituto nacional de Francia: Reales cédulas de S. M.; una sobre enagen</t>
  </si>
  <si>
    <t>Despor, Félix</t>
  </si>
  <si>
    <t>Félix Despor</t>
  </si>
  <si>
    <t>zas. Colmar 19 de Octubre. N uestra junta central de la vacuna ha presentado al ciud. Félix Despor-? tes, Prefecto del Alto-Rhin, una relación sumaria de las tareas de las. demas juntas subalternas que hay establecidas en aquel país. Esta memoria da muchas lu</t>
  </si>
  <si>
    <t>Desportes, Félix</t>
  </si>
  <si>
    <t>Félix Desportes</t>
  </si>
  <si>
    <t>oncurso, y ló$ suplementos que remitan á las memorias ya presentadas. Débese al ciud. Félix Desportes , Prefecto del departamento del Alta Rhin, el haber fomentado y difundido la vacunación en aquella parte de la antigua provincia de la Alsacia. Ha presentado a</t>
  </si>
  <si>
    <t>Desprer</t>
  </si>
  <si>
    <t>en la pila. S. M. acaba de nombrar en calidad de Agente de Suecia en Italia para las bellas artes á Mr. Desprer, primer arquitecto de la corte, y al profesor Marbeck, Consejero de la Chancillería___ En esta capital poseemos ya un establecimiento, baxo la dirección del célebre médico Riben,</t>
  </si>
  <si>
    <t>Despuig, Tomás</t>
  </si>
  <si>
    <t>Tomás Despuig</t>
  </si>
  <si>
    <t>al Supernumerario Marques de Palacios; á Supernumerario á D. Antonio Arteaga; á Cadete de número á D. Tomas Despuig, y á Supernumerario al Guardia D. Joseph Pretel. También se ha servido S. M. conferir en el regimiento de infantería de Africa Subtenencia de bandera al Sargento primero D. Joseph</t>
  </si>
  <si>
    <t>Dessoles, General</t>
  </si>
  <si>
    <t>General Dessoles</t>
  </si>
  <si>
    <t>r que el exército de reserva, reunido en ta provincia holandesa de Over-Issei, baxo las órdenes del General Dessoles, tiene ¿rden de marchar á Westphalia y á la Baxa-Saxonia, así que lleguen á los quarteles señalados los 20© hombres de que debe componerse. La, vanguardia, mandada por el General</t>
  </si>
  <si>
    <t>Dessolles, General</t>
  </si>
  <si>
    <t>General Dessolles</t>
  </si>
  <si>
    <t>dad del Elector; pero han suspendido* contiriuar su entrada á ruegos del Conde de Steinfurth , y el General Dessolles ha dado esperanzas de que las tropas que hay ya en este país pequeño, que ascienden á 575 hombres, lo evacuarán pronto. Por los incendios que han consumido la ciudad sueca de Aves</t>
  </si>
  <si>
    <t>Desurelle</t>
  </si>
  <si>
    <t>artes se ha ieido un informe del ciud. Dizier sobre la escarlata teñida por el ciud. Desurelle con la cochinilla silvestre de Santo Domingo, recogida y preparada por el ciud. Bruley. Esta nueva cochinilla, en igual cantidad, da á los texidos un color que</t>
  </si>
  <si>
    <t>Devidé, Agustín</t>
  </si>
  <si>
    <t>Agustín Devidé</t>
  </si>
  <si>
    <t>er batallón del de Murcia D. Francisco Corts ; y á Subtenientes de bandera á ios Sargentos primeros D. Agustín Devidé y D. Lucas Arjó; y ha concedido en el dé Valencia Capellanía ai presbítero D. Franeisé'o Antonip de Antuñano. El Rey ha conferido empleo de Ayudante en los regimientos provinciales de</t>
  </si>
  <si>
    <t>Devis, Manuel</t>
  </si>
  <si>
    <t>Manuel Devis</t>
  </si>
  <si>
    <t>ubteniente reformado de Milicias D. Manuel María dePeñafedonda, y ai Sargento primero de granaderos D. Manuel Devis: en el de Hibernia á Ayudante al Teniente, graduado de Capitán, D. Gaspar Gisbert: en ei de la Princesa á Subteniente de bandera al Capitán que fue del extinguido de Nobles de Ast</t>
  </si>
  <si>
    <t>Devvinter, Almirante</t>
  </si>
  <si>
    <t>Almirante Devvinter</t>
  </si>
  <si>
    <t>ra que dirija las operaciones del importante comercio de Levante. El gobierno ha recibido carta del Almirante Devvinter, en que avisa con fecha del 30 de Enero hallarse su esquadra en buen estado, y pronta á dar la vela para volver á nuestros puertos del de Tolon. Jamas se ha visto tanto tráfico en</t>
  </si>
  <si>
    <t>Dewinfer, Almirante</t>
  </si>
  <si>
    <t>Almirante Dewinfer</t>
  </si>
  <si>
    <t>tros Ministros en varias cortes de Europa, y á nuestra esquadra que está en Tolon á las órdenes del Almirante Dewinfer. &gt;, El General César Berthier, nombrado Capitán general deola isla de Tabago, ha salido con su familia y su estado mayor1 para HeHnoet, en donde se embarcará para Dunkerque.---Las</t>
  </si>
  <si>
    <t>Dewinter, Almirante</t>
  </si>
  <si>
    <t>Almirante Dewinter</t>
  </si>
  <si>
    <t>rado Presidente del gobierno de estado. Empezará á exereer sus funciones el i.°de Marzo próximo. Él Almirante Dewinter pasará á Lisboa después de detenerse algo eá Tolón, con lo que habrá concluido su crucero , y volverá á su patria. En sus últimos oficios dice que los piratas berberiscos.han aban</t>
  </si>
  <si>
    <t>haberse principiado las hostilidades. Desde luego tuvo que tocar en Lisboa á comunicarle órdenes al Almirante Dewinter, y con todo ha desempeñado su comisión en unos 4 meses con la mayor satisfacción del gobierno. Asegura este Capitán que ha hallado las tropas en la mejor disposición en Surinam, B</t>
  </si>
  <si>
    <t>Dewmter, Almirante</t>
  </si>
  <si>
    <t>Almirante Dewmter</t>
  </si>
  <si>
    <t>lo conceda. La Holanda paga al Baxá de Trípoli en virtud del ultimo tratado concluido por el V ice-Almirante Dewmter, la suma de 80© duros: lo</t>
  </si>
  <si>
    <t>Díaz Bermudo, Francisco</t>
  </si>
  <si>
    <t>Francisco Díaz Bermudo</t>
  </si>
  <si>
    <t>María y Salamanca. Para las quatro plazas de la expresada Audiencia que;queda\i vacantes., nombro á.D. Francisco Diaz Bermudo¿ Oidor de iá )Audiencia de Canarias; á D. Joaquín Sistemes, de la de Mallorca ; á D. Joseph Salvador López del Pan, de la de Asturias , y á D. Joseph Joaquín de Iriberri, Alcalde</t>
  </si>
  <si>
    <t>Díaz Granados, Pedro Gabriel</t>
  </si>
  <si>
    <t>Pedro Gabriel Díaz Granados</t>
  </si>
  <si>
    <t>rcedianato déla catedral de Santa Marta, vacante por fallecimiento de D. Luís-de Robles, al Chantre D. Pedro Gabriel Díaz Granados: para la Chantría al Tesorero D. Joseph Vicente Troitiño: para la Tesorería al Cura Rector del Sagrario de dicha catedral D. Joseph Gregorio de la Bastida: para el Arcedianato de</t>
  </si>
  <si>
    <t>Díaz Moreno, Joseph</t>
  </si>
  <si>
    <t>Joseph Díaz Moreno</t>
  </si>
  <si>
    <t>enseñar gratuitamente á los hijos del pueblo. Quien quiera hacer oposición dirigirá su pretensión á D. Joseph Diaz Moreno, patrono de dicha cátedra, advir</t>
  </si>
  <si>
    <t>Díaz Noriega, Juan</t>
  </si>
  <si>
    <t>Juan Díaz Noriega</t>
  </si>
  <si>
    <t>, det Consejo de S. M., Alcalde decano de casa y corte , y por el oficio del Escribano de provincia D. Juan Díaz Noriega , á pedir ¡y) exponer ló que ai-derecho de cadauno convenga ; -en inteligencia que nolo haciendo, pasado dicho término les parará el perjuicio que haya lugar. ^ , : -} Se abre sub</t>
  </si>
  <si>
    <t>Díaz Noríega, Juan Antonio</t>
  </si>
  <si>
    <t>Juan Antonio Díaz Noríega</t>
  </si>
  <si>
    <t>mes de Enero. Quien quisiere hacer dicha mejora acuda.ante S. $. por la escribanía de provincia de D. Juan Antonio Díaz Noríega yen donde se admitirá. Les acreedores en estos dominios del Emo. y Excmo. Sr. Cardenal D. Nicolás Colona, Nuncio Apostólico que fué en estos rey.nos, acudirán ante el Sr. D. Sebasti</t>
  </si>
  <si>
    <t>Díaz Noriega, Juan Antonio</t>
  </si>
  <si>
    <t>Juan Antonio Díaz Noriega</t>
  </si>
  <si>
    <t>ría acudan en el preciso término de 15 días al jirzgado de su Señoría, y escribanía de provincia de D. Juan Antonio Díaz Noriega á legitimar sus créditos. Por la audiencia del Sr. D. Manuel de Torres, Teniente Corregidor de esta villa , y escribanía de su numero que exerce-D. Tomas de Sancha y Prado, se sub</t>
  </si>
  <si>
    <t>sejo de S. M.» su Alcalde de casa 7 corte, de 28 de Marzo de este año, 7 escribanía de provincia de D. Juan Antonio Díaz Noriega, se han mandado sacar á pública subasta por término de 30 dias dos tierras de pan llevar, sitas en término del lugar de Carabanchel de arriba, la una en las eras de los Hornos, de</t>
  </si>
  <si>
    <t>y legitimar sus créditos ante el Sr. D. Joseph Marqqína Galín¿0 , por la escribanía de provincia de D. Juan Antonio Díaz Noriega : cuya providencia se dió él dia 3 de este mes. EN LA IMPRENTA REAL.</t>
  </si>
  <si>
    <t>en moneda metálica. Quien quisiere hacer mejora acuda ante el referido Sr. Alcalde y escribanía de D. Juan Antonio Diaz Noriega.r= Asimismo por el referido Sr. Alcalde se ha mandado subastar por 30 dias una casa sita en la Plaza mayor de esta corte, portal de Cabestreros, níim. 21, manz. 163 , claros 64 y</t>
  </si>
  <si>
    <t>Díaz Salgado, Juan</t>
  </si>
  <si>
    <t>Juan Díaz Salgado</t>
  </si>
  <si>
    <t>anidad del reyno y cónservacion de la salud pública: ün tomo en 8¿°, por el catedrático de medicina D. Juan Díaz Salgado. Se halJárá en las librerías de Castillo, frente á las gradas de S. Felipe; de Cerró, calle de Alcalá, &lt;y de Orea, frente á S. Luis. ,í . , Óbrásdél Máeátró^Eérííin Pérez de Oliva</t>
  </si>
  <si>
    <t>Díaz Sedeño, Joseph</t>
  </si>
  <si>
    <t>Joseph Díaz Sedeño</t>
  </si>
  <si>
    <t>S. M. se ha dignado nombrar pata la Canongía de la catedral de Oviedo, vacante por tallécimiento de D. Joseph Díaz Sedeño, a D. Bernardo Antonio Luege Villar: para otra de la de Tuy , vacante por promoción de D. Francisco Ventura de Castro y Villegas al Deanato de la misma, á D. Bernardo Sánchez Cidr</t>
  </si>
  <si>
    <t>Díaz, Domingo</t>
  </si>
  <si>
    <t>Domingo Díaz</t>
  </si>
  <si>
    <t>otra Canongía ¿e la colegial de V alpuesta, en la diócesis de Burgos, vacante por fallecimiento de D. Domingo Diaz, á D. Vicente de-Oteo y Paredes: para una Ración de la metropolitana de Santiago, vacante por promoción de D Ignacio Ramón de Roda á la Penitenciarla de la misma metropolitana, ¿</t>
  </si>
  <si>
    <t>Díaz, Joseph</t>
  </si>
  <si>
    <t>Joseph Díaz</t>
  </si>
  <si>
    <t>steves , y al de fusileros D. Joaquín de los Reyes; á Subtenientes de granaderos á los de fusileros D. Joseph Díaz, D. Andrés Postigo y D. Juan Velazquez , y á Subtenientes á los Cadetes D. Felipe Antonio Valencia y D. Mariano Arroyo, y á los Sargentos primeros D. Miguel Garcés, D. Francisco J</t>
  </si>
  <si>
    <t>Díaz, Manuel</t>
  </si>
  <si>
    <t>Manuel Díaz</t>
  </si>
  <si>
    <t>deros. Y en el de Milicias de caballería de la propia isla há promovido S. M. á Capitán al Teniente Don Manuel Díaz; á;Teniente al Alférez de carabineros D. Rafael de Silva; á esta resulta al Alférez D. Gregorio Cebollero, y á Alféreces al Cadete D. Vicente Dávila y al Sargento primero de carab</t>
  </si>
  <si>
    <t>Díaz, Manuel Francisco</t>
  </si>
  <si>
    <t>Manuel Francisco Díaz</t>
  </si>
  <si>
    <t>bteniente de bandera en el batallón veterano de infantería de Castilla de la provincia de Yucatan á D. Manuel Francisco Díaz, Sargento primero del misino-cuerpo. En el batallón de infantería fixo de la Concepción de Chile ha nombrado S. M. Capitán ai Ayudante D. Carlos Spano; Ayudante al Teniente de gra</t>
  </si>
  <si>
    <t>Diáz, Pedro Joseph</t>
  </si>
  <si>
    <t>Pedro Joseph Diáz</t>
  </si>
  <si>
    <t>os D. Antonio García Estepa ; y en él batallón de Voluntarios de Valencia á Teniente al Subteniente D. Pedro Joseph Diáz. ' En América. El Rey se ha servido conferir el empleo de Comandan-i te del esquadron de dragones de Luzon, en Filipinas, al Teniente Coronel JD. Francisco Arnedo y Antillon, Capi</t>
  </si>
  <si>
    <t>Dieste y Buil, Francisco</t>
  </si>
  <si>
    <t>Francisco Dieste y Buil</t>
  </si>
  <si>
    <t>n de fieras perjudiciales al ganado y aves domésticas, y que las de rapiña lo sean ménos : su autor D. Francisco Dieste y Buil: un tomo en 4.0 , segunda impresión. Se hallará en la librería de Alonso, frente á las gradas de S. Felipe, y en Zaragoza en la de Monge. Dos estampas en quartilla grabadas por D.</t>
  </si>
  <si>
    <t>Dieste, Antonio</t>
  </si>
  <si>
    <t>Antonio Dieste</t>
  </si>
  <si>
    <t>e Capitán, D. Joseph López Paez: en el de Murcia Subtenencia de bandera al Cadete del,llxo de Ceuta D. Antonio Dieste: en el de Hibernia empleos de Ayudantes á los Tenientes, graduados de Capitán, D. Luis Raseti y D. Joseph Llopis; y en el de la Princesa el mismo empleo de Ayudante al Teniente, g</t>
  </si>
  <si>
    <t>Diez Nograro, Juan</t>
  </si>
  <si>
    <t>Juan Diez Nograro</t>
  </si>
  <si>
    <t>cante por haber sido promovido también á otra Canongía de la misma colegial D. Santiago fontecha, á D. Juan Diez Nograro: para un Beneficio de la parroquia de S. Nicolás de Almazan de la villa de Huete, en la diócesis de Cuenca, vacante por muerte de D. Domingo Antonio de Tuesta, á D. Andrés Bonomo</t>
  </si>
  <si>
    <t>Diez Quijada y Ovejero, Joseph</t>
  </si>
  <si>
    <t>Joseph Diez Quijada y Ovejero</t>
  </si>
  <si>
    <t>l, á D. Francisco Fernandez Mafízanedo: para otra de la catedral de Falencia, vacante por muerte de D. Joseph Diez Quijada y Ovejero, á D. Juan Francisco Florez Viilamil: para la Ración que este obtiene en la misma catedral:, y resultará vacante, á D. Antonio Francisco del Peral Duque: para una Ración de la cat</t>
  </si>
  <si>
    <t>Diez, Domingo Miguel</t>
  </si>
  <si>
    <t>Domingo Miguel Diez</t>
  </si>
  <si>
    <t>uero I D. Juan Antonio Mdntiel'Bullón: para la Vara' dé Alcalde; mayor de la ciudad* de Salamanca á D. Domingo Miguel Diez ; y para la de Ciudad-Rodrigo á D. Manuel León Huerta. r;jjpQt Ja viade Londres-ha ^ recibido-el ^ Príncipe de la Paz, Generalísimo" de las armas de mar y tierra , un oficio del T</t>
  </si>
  <si>
    <t>Diez, Francisco</t>
  </si>
  <si>
    <t>Francisco Diez</t>
  </si>
  <si>
    <t>ia al Subteniente de granaderos D. Mariano Flernandez; y Subtenencia de bandera al Sargento primero D. Francisco Diez; en el de Irlanda Capellanía al religioso Carmelita descalzo Fr. Pe</t>
  </si>
  <si>
    <t>DimidoíF, Pablo</t>
  </si>
  <si>
    <t>Pablo DimidoíF</t>
  </si>
  <si>
    <t>46 6 de le corresponde por su antigüedad, como General de infantería. Mr. Pablo DimidoíF, uno de los particulares mas .ricos de 'Móskow, h$ pedido permiso al Emperador para contribuir con una suma de 30óty rublos, y una donación de 300 siervos para la manutención de l</t>
  </si>
  <si>
    <t>diputado Clavel</t>
  </si>
  <si>
    <t>os que recorriendo la Suiza cometen toda suerte de desórdenes, se encargó á los diputados Clavel, Munhinger y Marcaen presentasen un proyeyto de ley sobre el particular. Se resolvió y decretó que el cantón que en adelante quisiese tratar con algún estado v</t>
  </si>
  <si>
    <t>Director Conde del Aguila</t>
  </si>
  <si>
    <t>esta ciudad. Se abric5 la sesión con un eloqiiente discurso, pronunciado por su Director Conde del Aguila, en que hizo ver los medios adoptados por la Sociedad para promover la felicidad pública en esta provincia. El Dr. D. Joaquín de Uñarte y Lauda, Secretario del</t>
  </si>
  <si>
    <t>Director Dr</t>
  </si>
  <si>
    <t>erpos. Di be principio al acto con un breve discurso que pronunció el Sr. V ice-Director Dr. D. Francisco Ayuso y Peña, Dignidad de Abad Je Sta. Cruz y Canónigo Magistral de esta santa iglesia, en el que dio razón de los medios que había adoptado la j</t>
  </si>
  <si>
    <t>Director Juez</t>
  </si>
  <si>
    <t>las villas 4$ Canillas y Cánillejas, va-r luadas ett tt,poa rs* acuda, ante el Director Juez protector y privativo de lo$ Reales hotpicíos el Sr. í&gt;. Luis (jarcia Puerta, y por la secretaría de ellos y esr cribanía de provincia de Di Pedro de VdTidireí</t>
  </si>
  <si>
    <t>las villas de Canillas y Canilíejas, valuadas en 11,902 rs. , acuda ante el Sr. Director Juez protector y privativo de los Reales hospicios D. Luis García Puerta , y por la secretaría de ellos y escribanía de provincia del cargo de D. Pedro de Valladare</t>
  </si>
  <si>
    <t>Director Marques de Valera</t>
  </si>
  <si>
    <t>sexos: 12 que dio la Sociedad ,12 el-Excmo. Sr. Arzobispo , Director; 7 el Vice-Director Marques de Valera ; 4 el Archivero D. Manuel de Velasco; uno el socio D. Juan Antonio Morera; 4 el socio D. luán Martínez de Hermosilla, y uno por un particular. A mas de los 41</t>
  </si>
  <si>
    <t>Director, Príncipe</t>
  </si>
  <si>
    <t>Príncipe Director</t>
  </si>
  <si>
    <t>ir un ajuste con el Príncipe de la Tour y Taxis acerca de los correos de su Reyno, de los que es el Príncipe Director y propietario ,■ no solo en Prusia, sino en todo el Imperio. Ratisbona 11 de Mayo. E n virtud de un decreto de la comisión Imperial se disolvió ayer la diputación del Imperio, con c</t>
  </si>
  <si>
    <t>Diz, Francisco Antonio</t>
  </si>
  <si>
    <t>Francisco Antonio Diz</t>
  </si>
  <si>
    <t>ombrado el Rey á D. Juan Ibañez de la Rentería, Secretario del mismo Consejo; y para esta resulta á D. Francisco Antonio Diz , Oficial mayor segundo de la Secretaría de Estado y del Despacho universal de la Guerra. El Rey ha conferido la Capitanía General del exército y Reyno de Valencia, con la Preside</t>
  </si>
  <si>
    <t>Dizier</t>
  </si>
  <si>
    <t>los ciegos de nacimiento. En el Ateneo de las artes se ha ieido un informe del ciud. Dizier sobre la escarlata teñida por el ciud. Desurelle con la cochinilla silvestre de Santo Domingo, recogida y preparada por el ciud. Bruley. Esta nueva cochinilla,</t>
  </si>
  <si>
    <t>do Mendiburu, Matías</t>
  </si>
  <si>
    <t>Matías do Mendiburu</t>
  </si>
  <si>
    <t>72 Don Matías do Mendiburu, del comercio de Cádiz, remitió por el correo de 7.1 del pasado á D. Francisco Antonio de Barandiaran , del de S. Sebastian , 3 vales Reales de 600 pesos de i.° de Setiembre,endos</t>
  </si>
  <si>
    <t>Docioy, Christóbal</t>
  </si>
  <si>
    <t>Christóbal Docioy</t>
  </si>
  <si>
    <t>antos; en el de •León al Cadete D. Francisco Arguelléis, y en el de la Princesa al Sargento primero D. Christóbal Docioy al Cadete D. Joseph Hermida y Mosquera. • • ........' í - ’ ; También en el regimiento de infantería de Soria se ha servido promover el Rey á Subteniente de bandera -al Cadete D.</t>
  </si>
  <si>
    <t>Doitrúngo de la Barcena</t>
  </si>
  <si>
    <t>ro, numero 314738, endosado i Favor de D. Francisco Castellanos: quien supiere de él lo entregará á D. Doitrúngo de la Barcena, bascada de Sra. Cruz, núm. 6, tienda de fierro. Con Real facultad se renden dos casas unidas , calle de la Platería, rumas. 9 y 10, manz. 415, tasadlas en 2362$ rs. Quien quisier</t>
  </si>
  <si>
    <t>Domairon</t>
  </si>
  <si>
    <t>poderosas. Las aguas del Sena van aumentándose alguna cosa con las lluvias. El ciud. Domairon, antiguo profesor de la escuela militar de Paris, lia sido nombrado Inspector de los estudios en lugar del ciud. Chenier, imposibilitado ya de viajar á causa d</t>
  </si>
  <si>
    <t>Domingo Juan</t>
  </si>
  <si>
    <t>1 Rey se ha servido nombrar para una Canongía de la catedral de Ibiza, vacante por fallecimiento de D. Domingo Juan, á D. Bartolomé Riera : para un Beneficio de la parroquia de Alcober, en la diócesis de* Tarragona, vacante por promoción de D. Guillermo Rocabruna á una Ración de aquella santa i</t>
  </si>
  <si>
    <t>Domínguez Por, Joseph María</t>
  </si>
  <si>
    <t>Joseph María Domínguez Por</t>
  </si>
  <si>
    <t>a en la posada de S. S., para que concurran 4 ella i uru junta los acreedores á la testamentaría de D. Joseph María Domínguez Por el juzgado del Corregidor de la ciudad de Segovia, y escribanía del número que sirve í&gt;. Matraz;| de Iglesias García, se ha rematado en pública subasta la cabaña de gañido lanar íi0</t>
  </si>
  <si>
    <t>Domínguez Torrado, Félix</t>
  </si>
  <si>
    <t>Félix Domínguez Torrado</t>
  </si>
  <si>
    <t>e la villa del Carpió, en la diócesis de Córdoba, vacante por muerte de D. Cárlos Saveli Spínola, á D. Félix Domínguez Torrado; y para otro patrimonial de la parroquia de S. Pedro de la villa de Puente la Reyna, obispado de Pamplona, vacante por fallecimiento de D. Manuel de Oses, á D. Pedro Josepn de Ich</t>
  </si>
  <si>
    <t>Domínguez y Aguado, Juan Nepomuceno</t>
  </si>
  <si>
    <t>Juan Nepomuceno Domínguez y Aguado</t>
  </si>
  <si>
    <t>bierno.Intendencia de la Puebla de los xAngeles, en ei Reyno de Nueva-España, vacante por muerte de D. Juan Nepomuceno Domínguez y Aguado, á D. Joseph Ignacio Berasueta, Abogado de los Reales Consejos. Aunque en ei último arancel de salida se prohíbe la extracción del aceyte del Reyno quando exceda su precio de 36 r</t>
  </si>
  <si>
    <t>Domínguez, Joseph María</t>
  </si>
  <si>
    <t>Joseph María Domínguez</t>
  </si>
  <si>
    <t>a posada de S. S., para que concurran á ella á tener una junta los acreedores á la testamentaría de D. Joseph María Domínguez. —.............................■« ■■■— » ' ■ ------------ ---------------- — ■ , EN LA IMPRENTA REAL.</t>
  </si>
  <si>
    <t>Domínguez, Juan</t>
  </si>
  <si>
    <t>Juan Domínguez</t>
  </si>
  <si>
    <t>D. Luis Gayar re y D Cirilo Demorant, los Cadetes D. Francisco M'óréjori , D. Francisco Duvreüiil, Don Juan Domínguez, D. Félix Forstáll , D. Pedro Reggio y1 D. Cátlos Rcggio, y los Sargentos primeros D. Matías Cervera, de granaderos, P Francisco Cañedo y D. Joseph Bernardo , y á Subtenientes de</t>
  </si>
  <si>
    <t>Domínguez, Miguel</t>
  </si>
  <si>
    <t>Miguel Domínguez</t>
  </si>
  <si>
    <t>o de la causa pía,. se adjudicasen tres premios extraordinarios de á 25 pesos áD. Vicente GuTardia, D. Miguel Domínguez y D. Pablo Hernandos con cuyo*dictamen, ño solo se allanó la Junta con la dulce satisfacción de ver realizadas sus rectas y piadosas intenciones, sino que el E-xcnio. Sr. Hermano mayo</t>
  </si>
  <si>
    <t>Dorca, Francisco</t>
  </si>
  <si>
    <t>Francisco Dorca</t>
  </si>
  <si>
    <t>Soberano, y Sargo principal de los Soberanos en el gobierno; su autor el Dr. D. Francisco Dorca, Canónigo de la slmta Iglesia de Gerona: un tomo en 4.0 Se hallará en la librería de Quiroga, calle de las Carretas, y en Gerona en la imprenta de Oliva. Método práctico de enseñar á leer:</t>
  </si>
  <si>
    <t>Doria</t>
  </si>
  <si>
    <t>ana los quatro Cardenales franceses, preconizados en el consistorio de 7 de Enero, é igualmente que Mr. Doria, Legado apostólico, se trasladáron al palacio de las Tullerías en los coches del primer Cónsul, y en el salón de Embajadores fue presentado al primer Cónsul el Legado, quien le ha</t>
  </si>
  <si>
    <t>Doria, Cardenal</t>
  </si>
  <si>
    <t>Cardenal Doria</t>
  </si>
  <si>
    <t>o la satisfacción que tenia de que el Papa hubiera ele* ido para traher las birretas al sobrino del Cardenal Doria, á quien la f rancia estima por tantos títulos. Le encargó que manifestase el deseo que tenia de darle continuas pruebas de su buena voluntad.__ Quando se celebraba la misa el pri</t>
  </si>
  <si>
    <t>Douglas</t>
  </si>
  <si>
    <t>irmado: Horacio Sebastiani.” El gobierno ha concedido privilegio por 15 años al ciud. Douglas, para unas máquinas que ha perfeccionado para la fabricación y perchado de todo género de paños , casimiros &amp;c.; otro por 10 años á un nuevo arado para el cult</t>
  </si>
  <si>
    <t>Dóuglas</t>
  </si>
  <si>
    <t>en las cercanías de Apt. Por informe de la Sociedad del fomentó de Pafis há concedido el gobierno á Mr. Dóuglas» ingles»úna suma bástánté considerable p3ra construir máquinas de fabricar pañoseconomizando iniüchísiinos brazos. Actualmente se hallan estas máquinas en exercicio muy cerca de e</t>
  </si>
  <si>
    <t>Downes</t>
  </si>
  <si>
    <t>rimera junta , que se compone de Mrs. Downes, Finucaue, Daly, del Lord Norbury y del Barón Georges. Mr. Downes presento el acto de acusación, y exhortó á los jurados á cumplir su encargo con firmeza é imparcialidad, y luego se presentaron 16 acusados, que el dia 30 del corriente mes se les</t>
  </si>
  <si>
    <t>Doyle, Henrique</t>
  </si>
  <si>
    <t>Henrique Doyle</t>
  </si>
  <si>
    <t>sus estados con aumento de sus rentas, pueblos y vasallos: todo sobre la práctica mas auténtica por D. Henrique Doyle.'Véndese .en la librería de Castillo, frente á las gradas de S. Felipe , á 16 rs. el juego en rústica. EN LA IMPRENTA REAL.</t>
  </si>
  <si>
    <t>Dragomán, Príncipe</t>
  </si>
  <si>
    <t>Príncipe Dragomán</t>
  </si>
  <si>
    <t>estaban en pie___ El Embaxador saludo á S. A., y pronunció el siguiente discurso, que interpretó el Príncipe Dragomán. ’ Muy alto, muy poderoso y muy magnánimo é invencible Emperador de los musulmanes, Sultán Selim, ert quien resplandecen el honor y la virtud.__ El muy grande, muy poderoso y muy</t>
  </si>
  <si>
    <t>Drouet, General</t>
  </si>
  <si>
    <t>General Drouet</t>
  </si>
  <si>
    <t>le por su derecha, se retiró aquella noche á Borsten. El r.° de Junio, la vanguardia mandada por el General Drouet, tuvo una escaramuza muy viva delante de Bauver, con la retaguardia enemiga. El dia 2 se reunió el exército delante de Suhlingen, y la vanguardia se dirigió á Borsten, donde encon</t>
  </si>
  <si>
    <t>arsenal de Luneburgo. El parque principal de ¡artillería francesa se ha transferido á Celles.;__ El General Drouet ha tomado el mando de Comandante en xefe de la provincia de Lauenburgo, y está á punto de transferir su quartel general á Ratzebourg, algunas leguas distante del mar Báltico. Escr</t>
  </si>
  <si>
    <t>Druminond</t>
  </si>
  <si>
    <t>brado para reemplazar al;Lord Elgin, como Embaxador cerca de la Puerta; y Mr. Garlike reemplazará á Mr. Druminond en la corte de Nápoles. Son vagas y dudosas las noticias que- se esparcen sobre la situación de Irlanda. Una carta de Dublin del 20 de Enero dice que el sábado al amanecer, cerca de</t>
  </si>
  <si>
    <t>Drummond</t>
  </si>
  <si>
    <t>res___El cuerpo destinado contra los bandidos de la Remella, se va á reforzar con tropas asiáticas. Mr. Drummond, Ministro de Inglaterra, tuvo el 13 su primera audiencia del Gran Visir, y el 21 la del Gran Señor. La extraordinaria pompa con que se ha presentado ha admirado á los espectadores</t>
  </si>
  <si>
    <t>imamente del Egipto, en cuyo gobierno se quedará en propiedad el que lo ha tomado provisionalmente. Mr. Drummond, Ministro de Inglaterra, ha sido condecorado con la orden de la Media-luna; pero no usará de ella este Ministro hasta tenes licencia de su Soberano. Las solicitudes é instancias r</t>
  </si>
  <si>
    <t>Drumond</t>
  </si>
  <si>
    <t>1 de julio de 1803</t>
  </si>
  <si>
    <t>conferencias con el Reis-Effendi el Ministro francés y el Encargado de Negocios de S. M. Británica. Mr. Drumond, nuevo Ministro de Inglaterra, se ha detenido en la costa de Morea visitando las antigüedades de Atenas; pero se le espera en esta semana. Un correo ingles ha pasado por aquí para</t>
  </si>
  <si>
    <t>Duc, Juan Bautista</t>
  </si>
  <si>
    <t>Juan Bautista Duc</t>
  </si>
  <si>
    <t>auser; Tenencias de fusileros á los Subtenientes de granaderos D. Jacobo Turquí, D. Xpis Pigíiat -y D. Juan Bautista Duc; Subtenencia de granaderos al de fusileros Don •Antonio Grillot, y Subtenencias de fusileros á los Cadetes D. Gerónimo ;Neff y D. Francisco Xavier Marchal. ¡ : ..... En atención,</t>
  </si>
  <si>
    <t>Ducascal, Joseph</t>
  </si>
  <si>
    <t>Joseph Ducascal</t>
  </si>
  <si>
    <t>culativa, secciones cónicas, y dixo un discurso sobre ellas: tiene un año y tres meses de servicio. Don Joseph Ducascal, igual en matemática ,al anterior, y en ordenanza un poco ménos: tiene un año y un mes de setvicio. El de tercera clase, D. Juan Alvarez, fue preguntado de algunas obligaciones de</t>
  </si>
  <si>
    <t>Ducauloy, General</t>
  </si>
  <si>
    <t>General Ducauloy</t>
  </si>
  <si>
    <t>‘Caballería* f para,el servicio -de la artillería. De? bo muchos elogios á la vigilancia y zelo del‘General Ducauloy. -^Tengo el honor &amp;c.” Convenio entre los diputados civiles y militares de la Regencia de Hannóver j y el Teniente General Mortier y Comandante en xefe del exército francés, Art.</t>
  </si>
  <si>
    <t>Duchesne, Joseph Domingo</t>
  </si>
  <si>
    <t>Joseph Domingo Duchesne</t>
  </si>
  <si>
    <t>dral de Sta. Fe, vacante por fallecimiento de D. Fernando Camacho y Roxas, al Racionero de la misma D. Joseph Domingo Duchesne; y para esta resulta al Medio-Racionero D. Juan Nepomuceno Cabrera. - S. M. se ha servido conferir el empleo de Coronel del regimiento de infantería de México á D. Pedro Alonso, T</t>
  </si>
  <si>
    <t>Duckworth, Almirante</t>
  </si>
  <si>
    <t>Almirante Duckworth</t>
  </si>
  <si>
    <t>erzo de 1200 hombres. Según noticias recibidas últimamente con fecha de t.° de Julio, parece que el Almirante Duckworth estaba frente de Sto. Domingo bloqueando 2 navios de línea, 6 fragatas y 2 corbetas que se hallaban en el Cabo Francés: y mediante á que el conjunto de estas fuerzas tenia intercept</t>
  </si>
  <si>
    <t>Dugua, General</t>
  </si>
  <si>
    <t>General Dugua</t>
  </si>
  <si>
    <t>Todo lo que estaba prevenido en las instrucciones del gobierno, se ha executado puntualmente___ El General Dugua., xefe del estado mayor , falleció á principios de Octubre á los 4 dias de enfermedad___Los estragos van ya siendo menores , no obstante que la éstacion está muy atrasada, y que t</t>
  </si>
  <si>
    <t>Duguet</t>
  </si>
  <si>
    <t>, y de Fuente , junto á los Consejos. Reglas para la inteligencia de la sagrada Escritura : obra de Mr. Duguet, traducida del francés: dos toritos en 12.0, que comprehenden los documentos mas preciosos para penetrar el verdadero sentido de los libros sagrados del antiguo j nuevo Testamento</t>
  </si>
  <si>
    <t>Duguet, Capitán</t>
  </si>
  <si>
    <t>Capitán Duguet</t>
  </si>
  <si>
    <t>rdember antes de que llegasen las tropas francesas destacadas al intento por el General Serras._ El Capitán Duguet ha sido enviado á Lausana y Morgues á cerrar y sehar los depósitos de armas, y ya ha evacuado su comisión. Los ciuda</t>
  </si>
  <si>
    <t>Dulauloy, General</t>
  </si>
  <si>
    <t>General Dulauloy</t>
  </si>
  <si>
    <t>._El parque de artillería de campaña del exército de Hannóver, que está en Zell, se ha entregado al General Dulauloy, comandante de la artillería, y sé compone de 40 piezas y 200 caxones tirados por buenos caballos. Añade el General Mortier que aunque ha encontrado poco dinero en las caxas, no d</t>
  </si>
  <si>
    <t>de minadores___ El General Dulauloy dice que se ocupa en organizar prontamente su gran parque de artillería; que nada le falta, y abunda de provisiones de guerra---- El General Leopoldo Berthier da cuenta de las mar</t>
  </si>
  <si>
    <t>Dulce, Miguel</t>
  </si>
  <si>
    <t>Miguel Dulce</t>
  </si>
  <si>
    <t>segunda Media-Ración de la propia metropolitana, vacante por promoción á una Ración de la misma de D. Miguel Dulce, á Don Henrique de Lope y Concha, Cura de Matacana, en ei expresad0 arzobispado. En el regimiento de infantería de la Corona de Nueva España se ha servido el Rey promover á Tenien</t>
  </si>
  <si>
    <t>Dumas</t>
  </si>
  <si>
    <t>cia experimental filosófica y médica del hombre vivo: escrita en francés por el ciud. Dumas, del Instituto nacional. de Francia , y traducida por D. Juan Vicente Carrasco. 3, Esta obra ofrece una historia exacta del hombre.vivo y de sus relaciones, in</t>
  </si>
  <si>
    <t>Dumas, General</t>
  </si>
  <si>
    <t>General Dumas</t>
  </si>
  <si>
    <t>otro, quedará casi enteramente organizado el exérctfto del General d’Avoust, en cuya compañía y del General Dumas irá el Ministro á Gante á dar las disposiciones necesarias para reunir en aquella ciudad y sus contornos un cuerpo considerable de tropas. Se asegura que pasará revista de todas l</t>
  </si>
  <si>
    <t>er se ha oido de aquí un fuerte cañoneo, y se esperan las noticias de lo que lo haya ocasionado. El General Dumas , xefe del estado mayor del exército de Inglaterra, ha ido á Gante, y pasado la revista de la numerosa guarnición de aquella plaza y de las tropas que acababan de llegar. Varios c</t>
  </si>
  <si>
    <t>dición proyectada contra la Inglaterra. El General d’Avoust, Comandante en xefe de la Flandes, y el General Dumas, xefe del estado mayor , acaban de tomar nuevas providencias para que todas'las tropas esten prontas á embarcarse á la primer señal, y se ha dado orden á las que están en marcha h</t>
  </si>
  <si>
    <t>Dumonceáu, General</t>
  </si>
  <si>
    <t>General Dumonceáu</t>
  </si>
  <si>
    <t>parte de nuestra guarnición pasa ¿ Zelanda á reforzar las tropas bátavas que hay en Middeibourg. El General Dumonceáu, que ha fixado su quartel general en Harlem¿ ha hecho poner etf el orden del día la proclama siguiente: „E:xército bá-± favo, quartel general de Harlem. Cómo todas las tropas que</t>
  </si>
  <si>
    <t>Dumourier, General</t>
  </si>
  <si>
    <t>General Dumourier</t>
  </si>
  <si>
    <t>ha conseguido restablecer la tranquilidad; pero se teme que no sea de mucha duración. La venida del General Dumourier á Inglaterra, se cuenta del modo siguiente. Durante la guerra de América, se hallaba dicho General de comandante, ó segundo en Cherburgo, en tiempo que la Francia tenia puestas to</t>
  </si>
  <si>
    <t>este número, porque estaban bastante apretados, y el carro caminaba con lentitud. Se asegura que el General Dumourier ha puesto en manos del Duque de Yorckuna memoria en que se da razón exacta de quantos planes se han formado y adoptado en Francia de 30 años á esta parte para invadir la Inglaterr</t>
  </si>
  <si>
    <t>Dundas</t>
  </si>
  <si>
    <t>llegado á esta capital. Igualmente se halla aquí de vuelta Mr. Moore, Plenipotenciario en Suiza. ' Mr. Dundas ha sido creado Lord con el título de Vizconde de Mel-. ville; y se dice que reemplazará ai Lord Pelliam en el departamento del Interior. Las cartas del Cabo-de Buena-Esperanza del</t>
  </si>
  <si>
    <t>221 correa , haya manifestado sus intenciones. Los persas han tomado luto por 40 dias. Mr. Dundas, Teniente de ingenieros , y Mr. Desnods, Ayudante de campo del Lord Cavan , han copiado la inscripción de la coíuna llamada comunmente de Pompeyo ,cuyos caracteres estaban de tal</t>
  </si>
  <si>
    <t>Dundas, General</t>
  </si>
  <si>
    <t>General Dundas</t>
  </si>
  <si>
    <t>rtel-Maestre general&gt; y Jorge Pr ingle, Comisario generals ambos autorizados por sus Excelencias el General Dundas y el Vice-Almirante Roger Cartis, por parte de S. M. Británica y y el Contra-Almirante Dekker, Comandante en xefe de la esquadra bátava, y el Coronel Henri, igualmente autorizados por</t>
  </si>
  <si>
    <t>que se ha convenido esta mañana, antes qué llegasen las órdenes de S. M. Británica___ Respuesta del General Dundas. El Teniente Gobernador consiente en ello, con tal que río resulte perjuicio á su autoridad, conforme á las órdenes que ha recibido. Art. i.° El Comisario general Mist tendrá libe</t>
  </si>
  <si>
    <t>uestras tropas , y las tropas bátavas se hallaban en plena posesión del Cabo de Buena-Esperanza, El General Dundas había publicado, el dia 20 de Febrero, una proclama, declarando que los habitantes de la colonia quedaban absueltos del juramento de obediencia hácia S. M. Británica, Refieren las</t>
  </si>
  <si>
    <t>Dupin, Pedro</t>
  </si>
  <si>
    <t>Pedro Dupin</t>
  </si>
  <si>
    <t>nto de infantería de Córdoba al Teniente Coronel del de infantería de Sevilla, graduado de Coronel, D. Pedro Dupin. El Rey se ha servido promover á Brigadieres de sus exércitos á los Coroneles del Real cuerpo de Artillería E), Gerónimo Leoni, D. Josejúi Betegón, D. Joseph Montes Salazar, D. Ni</t>
  </si>
  <si>
    <t>Dupont-Chaumon, General</t>
  </si>
  <si>
    <t>General Dupont-Chaumon</t>
  </si>
  <si>
    <t>0 á 110© hombres divididos en tres cuerpos: i.° el que permanecerá en el Piamonte á las órdenes del General Dupont-Chaumon, Comandante en xefe de los 6 departamentos nuevos. (El objeto de este cuerpo es ocupar militarmente el Pía mónte, mantener el orden y servir ai mismo tiempo de 'reserva á los dema</t>
  </si>
  <si>
    <t>Duprat, Nicolás</t>
  </si>
  <si>
    <t>Nicolás Duprat</t>
  </si>
  <si>
    <t>xandro Pastor. y En los regimientos Provinciales ha nombrado el Rey Sargento mayor del de Sevilla á D. Nicolás Duprat.de la Roquete, Capitán del de infantería de Hibernia: Capitanes de granaderos del de Sigiienza y Córdoba á los de fusileros D. Lorenzo Joseph Romo y D. Miguel de Coca : Capjtanes,</t>
  </si>
  <si>
    <t>Duque de Richelieu, Teniente General</t>
  </si>
  <si>
    <t>Teniente General Duque de Richelieu</t>
  </si>
  <si>
    <t>despachado un correo al primer Cónsul ; y se cree que el Duque conservará el peazgo de Elsfleth. El Teniente General Duque de Richelieu , es Director en xefe de todos los puertos del mar Negro, tanto para el comercio, como para el ramo militar. Dícese que estos puertos serán declarados libres, y no estarán sujetos</t>
  </si>
  <si>
    <t>Duquesncy</t>
  </si>
  <si>
    <t>nto un tratado con la Francia sobre la sal, y se asegura que sacará acó.© quintales de este género. Mr. Duquesncy, Intendente de las salinas de Francia, se halla aquí hace bastantes dias tratando de este negocio. Se vana convocar los consejos mayores de los-cantones para instruirse de las neg</t>
  </si>
  <si>
    <t>Duran, Joseph</t>
  </si>
  <si>
    <t>Joseph Duran</t>
  </si>
  <si>
    <t>graduado de Coronel, D. Mariano Bórbon: la dél de España al del mismo cuerpo, graduado de Coronel, D. Joseph Duran: la del de Mallorca ai Teniente Coronel del de Málaga, gradíiado de Coronel, D. Joseph Bermudez de Castro: la del de Burgos*al Comandante del tercer- batallón del de Córdoba, grad</t>
  </si>
  <si>
    <t>Duran, Joseph María</t>
  </si>
  <si>
    <t>Joseph María Duran</t>
  </si>
  <si>
    <t>ro, Secretario honorario de S. M., bien conocidos y estimados sugetos por su mérito literario, y de D. Joseph María Duran. i.a Puso los pies desnudos sobre un hierro hecho ascua, y sucesivamente sobre otro y otro que se le presentáron en el mismo estado. 2.a Pasó repetidas veces las manos por encima</t>
  </si>
  <si>
    <t>Durango, Francisco</t>
  </si>
  <si>
    <t>Francisco Durango</t>
  </si>
  <si>
    <t>........ D. Joseph Ligero. En Valencia....... D. Francisco Peyrolon y compañía* En Valladolid...... D. Francisco Durango é hijo mayor. En Zamora.......... D. Vicente Perez de Tejada. En Zaragoza....... D. Tomas de la Madrid. En Zeuta.............. D. Pedro Huguet, comisionado subalterno del de Cádiz</t>
  </si>
  <si>
    <t>...... D. Joseph Ligero. En Valencia....... ;. D. Francisco Peyrolon y compañía. EnValladolid...... D. Francisco Durango é hijo mayor. En Zamora........... D. Vicente Perez de Tejada. En Zaragoza........ D. Tomas de la Madrid. En Zeuta........... D. Pedro Huguet, comisionado subalterno del de Cádiz.</t>
  </si>
  <si>
    <t>.............D. Joseph Ligero. En Valencia......... D. Francisco Peyrolon y compañía. EnValladolid. D. Francisco Durango é hijo mayor. En Zanjora......... D. Vicente Perez de Tejada. En Zaragoza......... D. Tomas de la Madrid. En Zeuta................ D. Pedro Huguet, comisionado subalterno del de C</t>
  </si>
  <si>
    <t>Duro y Solano, Joseph Ventura</t>
  </si>
  <si>
    <t>Joseph Ventura Duro y Solano</t>
  </si>
  <si>
    <t>ural.■ de Villaverde de Carrascosa del Campo, en la diócesis de Cuenca, Vacante por la promoción de D. Joseph Ventura Duro y Solano á una Canongía de la, catedral de Calahorra, á D. Joseph Ortiz; y para él Beneficio de la parroquia del Salvador de la villa de Sepúlveda , en la diócesis .de-Segovia , vacante po</t>
  </si>
  <si>
    <t>Duro y Solano, Juan Diego</t>
  </si>
  <si>
    <t>Juan Diego Duro y Solano</t>
  </si>
  <si>
    <t>el, que estaba preparado al lado derecho, levantó el tafetán con que estaban cubiertos los sitiales D. Juan Diego Duro y Solano, Sumiller también dé‘Cortina. Después que SS. MM. y AA. hiciéro» oración, salió S. Erna* de su silla , y entonó solemne. Te Deum , que siguió toda la música de la Real capilla que</t>
  </si>
  <si>
    <t>Duroc, General</t>
  </si>
  <si>
    <t>General Duroc</t>
  </si>
  <si>
    <t>rtes liberales , y quanto distingue al verdadero comerciante del mercader. .Berlín 14 de Marzo. £ 1 General Duroc, Encargado de una misión extraordinaria del primer Cónsul cerca de nuestra corte, después de hablar al ciud. Bignon, Encargado de negocios de la República francesa, fué á casa del</t>
  </si>
  <si>
    <t>s empleados en el Senado, Cuerpo legislativo y Tribunado han escrito al primer Cónsul por medio del General Duroc lo siguiente : A Bonaparte el grande, los soldados abaxo firmados miembros del Senado &amp;c. General, vamos á pediros una gracia, que no negareis á nuestro zelo é inclinación-----Sin</t>
  </si>
  <si>
    <t>Duvreüiil, Francisco</t>
  </si>
  <si>
    <t>Francisco Duvreüiil</t>
  </si>
  <si>
    <t>unoy j D. Luis Bóuiigny; D. Luis Gayar re y D Cirilo Demorant, los Cadetes D. Francisco M'óréjori , D. Francisco Duvreüiil, Don Juan Domínguez, D. Félix Forstáll , D. Pedro Reggio y1 D. Cátlos Rcggio, y los Sargentos primeros D. Matías Cervera, de granaderos, P Francisco Cañedo y D. Joseph Bernardo ,</t>
  </si>
  <si>
    <t>Dv Ignacio Marra, Teniente General</t>
  </si>
  <si>
    <t>Teniente General Dv Ignacio Marra</t>
  </si>
  <si>
    <t>s-ha ^ recibido-el ^ Príncipe de la Paz, Generalísimo" de las armas de mar y tierra , un oficio del Teniente General Dv Ignacio Marra de: Alav ay: Comandante délá es^u^dfá*: ;S.-J4. ,eri' los mares de Asia, su f^cha euáManilá- á 6 de Abril de iSoáy dél tenor si^’^ExcmOí Sr. = Muy Sr. mió: Ayer'recibí con un gozo di</t>
  </si>
  <si>
    <t>Dv Mánuel Buch y Buch</t>
  </si>
  <si>
    <t>r •nos de la villa de? Boc ay rente, en dicho Reyno, declaración de Nobleza* A 'Dv Mánuel Buch y Buch , vecino de Calella, ha venido el Rey en concederle permiso para poner las armas Reales en sus fábricas de me* días de algodón y de hilado de este. El dia 8 del corriente mes de Julio arri</t>
  </si>
  <si>
    <t>E'rancisco</t>
  </si>
  <si>
    <t>de la parroquia de la villa de Medellin, en la diócesis de Plasenc.ia, vacante por fallecimiento de D. E'rancisco. Sanguineto, á D. Esteban Antonio Martin: para el de la del lugar de Valdecerrato, en la diócesis de Palencia, vacante por muerte de D. ETancisco González Pascual, á D. Antonio de</t>
  </si>
  <si>
    <t>E'rancisco Campos</t>
  </si>
  <si>
    <t>se ha serado el Rey promover á Capitán de granaderos al de fusileros, graduado de Teniente Coronel, D. E'rancisco Campos; á Capitán al Teniente de granaderos D. Antonio López de Toledo; á Teniente de granaderos al de fusileros D. Juan Ximenez ; á Teniente á D. Valentín Moralejo, Subteniente.de grana</t>
  </si>
  <si>
    <t>Eamiston</t>
  </si>
  <si>
    <t>o un grande alboroto originado por el suceso siguiente :,,Los que llevaban á enterrar el cadáver de Mr. Eamiston, individuo del cuerpo de liberty rangers, que fué asesinado el sábado último, se vieron acometidos por algunas peí sonas que les tiraban inmundicias y cascos de botellas, añadiend</t>
  </si>
  <si>
    <t>Echepare, Fernando</t>
  </si>
  <si>
    <t>Fernando Echepare</t>
  </si>
  <si>
    <t>los comisionados siguientes: En Alicante....... .. D. Juan Casou y compañía. En Avila..............D. Fernando Echepare y sobrinos. En Badajoz..... .....D. Esteban de V aldivielso. En Barcelona...... D, Ramón de Llordella é hijo. En Burgos............D. Andrés Fray le. En Cádiz........ . D. Benito de</t>
  </si>
  <si>
    <t>los comisionados siguientes: En Alicante..........D. Juan Casou y compañía. En Avila.............. D. Fernando Echepare y sobrinos. En Badajoz.......... D. Tomas Merino Ortiz. En Barcelona.......D. Ramón de Llordella é hijo. En Burgos........ . D. Andrés Frayle. En Cádiz...... D. Benito de la Piedra.</t>
  </si>
  <si>
    <t>s comisionados siguientes: En Alicante...........D. JuanCasou y compañía. En Avila............... . D. Fernando Echepare y sobrinos. En Badajoz........... D. Tomas Merino Ortiz. En Barcelona........D. Ramón de Llordeüa é hijo. En Báreos..............D. Andrés Fray le. En Cádiz................ D. Benit</t>
  </si>
  <si>
    <t>Echeverría, Ambrosio</t>
  </si>
  <si>
    <t>Ambrosio Echeverría</t>
  </si>
  <si>
    <t>ver en el regimiento de infantería de la Corona de Nueva España á Capitán ai Teniente de granaderos D. Ambrosio Echeverría; á Teniente de granaderos al de fusileros Don Andrés Kiss; á Tenientes á los Subtenientes de granaderos D. Higínio ligarte y D. Joseph Moral; á Subtenientes de granaderos á los de</t>
  </si>
  <si>
    <t>Edualdo Camides y Guanter</t>
  </si>
  <si>
    <t>a parroquial de la villa deMerga* diócesis de Solsona, vacante por muerte de D. Francisco Claris, á D. Edualdo Camides y Guanter: para otro Beneficio, vacante en la parroquia de Vimbodi, diócesis de Tarragona, por renuncia de D- Buenaventura Muro, á D. Cosme Gallar: para otro de la parroquial de la villa de</t>
  </si>
  <si>
    <t>Eebrun</t>
  </si>
  <si>
    <t>Eerkeley, Lord</t>
  </si>
  <si>
    <t>Lord Eerkeley</t>
  </si>
  <si>
    <t>ue ha tenido de declararse protector de esta institución. S. Al. tuvo una larga conversación con el Lord Eerkeley, informándose de los progresos que hacia la Sociedad; y. después volviéndose hacia el Dr. Jenner añadió, que este descubrimiento daba singular honor á la Incdaterra. • - -El númer</t>
  </si>
  <si>
    <t>Eguia, Félix</t>
  </si>
  <si>
    <t>Félix Eguia</t>
  </si>
  <si>
    <t>ad de Pentecostés ó venida del;Espíritu Santo y,.su octava, ssegun el breviario y misal romano: por D. Félix Eguia, presbítero.,Es,muy. .conveniente la traducción de esta octava por Jos misterios y obras del amor divino que comprehende; pues aquí vemos el establecimiento de la Iglesia en aquel</t>
  </si>
  <si>
    <t>Eguiguren, Lorenzo Ignacio</t>
  </si>
  <si>
    <t>Lorenzo Ignacio Eguiguren</t>
  </si>
  <si>
    <t>cieron de una hacienda de campo, titulada Simón verde, en término de la villa de Gelves, á favor de D. Lorenzo Ignacio Eguiguren: por providencia del mismo Consejo de 8 de Marzo de este año se ha mandado citar y llamar por edictos y pregones, y por medio de gazeta , i dichos D. Diego González Nava y Doña' R</t>
  </si>
  <si>
    <t>EÍdon, Lord</t>
  </si>
  <si>
    <t>Lord EÍdon</t>
  </si>
  <si>
    <t>ondres 7 de Noviembre. * L os navios de la compañía de la India oriental , el Reyno-Únido, Baring y Lord EÍdon, han llegado á la isla de Sta. Elena con muchas ricas presas qué han hecho hácia aquella latitud. La guarnición de dicha isla, en una expedición recientemente hecha, ha ganado en</t>
  </si>
  <si>
    <t>Eigin, Lord</t>
  </si>
  <si>
    <t>Lord Eigin</t>
  </si>
  <si>
    <t>e todo el Gran Señor , hizo convocar su ministerio, hubo muchas conferencias , á que fue llamado el Lord Eigin, y el resultado ha sido muy satisfactorio. S. A. concede á los Beyes de Egipto el perdón que solicitan baxo las condiciones siguientes. id*1 Los Beyes entregarán inmediatamente su</t>
  </si>
  <si>
    <t>Eilesius</t>
  </si>
  <si>
    <t>van.en estos buques un astrónomo, que es el Dr.. Horner; un físico y naturalista, que es el célebre Dr. Eilesius; los individuos de la embaxada del Japón, y los dos hijos de Mr. Kotzbue. Ha dado el Emperador varias disposiciones en beneficio de los habitantes de esta ciudad. Va á construirse</t>
  </si>
  <si>
    <t>EJ Barón de Colli</t>
  </si>
  <si>
    <t>rchiduque Luis. Actualmente están visitando ambos Príncipes las dos provincias. EJ Barón de Colli, Teniente-Feld-Mariscal al servicio de la Austria, ha sido nombrado por S. M. I. Enviado extraordinario de la corte de Etruria, y saldrá muy pronto para su destino. Ratisbona 2 de Noviembre</t>
  </si>
  <si>
    <t>El Barón de Albini</t>
  </si>
  <si>
    <t>egó á esta ciudad el Príncipe heredero de la Tour y Taxis, Comisario principal. El Barón de Albini, Ministro directorial, anunció que Mr. de Seckendoríf reemplazaba, en calidad de Ministro electoral de Wurtemberg, al Barón de Normann, llamado á otro destino, y ha dado cuenta de 4 represe</t>
  </si>
  <si>
    <t>El Barón de Urintz-Berbericii</t>
  </si>
  <si>
    <t>vas instituidas en el §. 12 del conclusum principal que acaba de ratificarse___ El Barón de Urintz-Berbericii, Ministro ue S. A. S. el Príncipe de la Tour y Taxis en la Dieta, marchcS de aquí ayer á Tischingen, desde dónde dicen que pasará á Stuttgard con una comisión del Príncipe. , Francfort 6* d</t>
  </si>
  <si>
    <t>El Conde de Mocenigo</t>
  </si>
  <si>
    <t>samblea de los Notables de esta isla baxo el nombre constitucional de Sinclita. El Conde de Mocenigo, Ministro plenipotenciario de S.M.I. de Rusia, encargado de la honrosa comisión de poner las basas de nuestra constitución, pronunció un discurso lleno de ideas generosas y benéficas. Despu</t>
  </si>
  <si>
    <t>El Conde de Stakelberg</t>
  </si>
  <si>
    <t>o del Rey de España en el Haya, pasará á residir á Londres en la misma calidad. El Conde de Stakelberg, Ministro de Rusia, ha dado antes de ayer un gran bayle y cena á los individuos del cuerpo diplomático y del gobierno. Se espera que los negocios relativos á las contribuciones se terminará</t>
  </si>
  <si>
    <t>El Conde de Valaise</t>
  </si>
  <si>
    <t>te mes &gt; donde verificará su matrimonio con una hermana del Emperador de Rusia. El Conde de Valaise , Ministro de Cerdeña cerca de nuestra corte, ha hecho su dimisión para poder pasar al Piamonte y tomar posesión de sus'bienes', en virtud ae que las leyes del pais le prohiben gozar de ello</t>
  </si>
  <si>
    <t>El Duque de Cambridge</t>
  </si>
  <si>
    <t>r. He dado orden para que se tomen los buques qne se hallen en dichos dos rios. El Duque de Cambridge, hijo del Rey deln-í gíaterra, tuvo por conveniente; hacer dimisión de su mando como Goir be mador dei JIannóver y y hacer su retirada eñ postía antes; de la ■batalla, no obstante que.h</t>
  </si>
  <si>
    <t>El General Ney</t>
  </si>
  <si>
    <t>mas que nunca el separarse de las disposiciones de nuestro acto constitucional. El General Ney, Ministro de la República francesa, saldrá de Suiza como unos 1^ dias después de la separación de la Dieta. El día 15 se ha celebrado en Zurich con mucha solemnidad, el aniversario del bomb</t>
  </si>
  <si>
    <t>Elector de Salzburgo, Archiduque</t>
  </si>
  <si>
    <t>Archiduque Elector de Salzburgo</t>
  </si>
  <si>
    <t>oncedido la licencia que solicitaba por 6 meses á causa de las actuales circunstancias* S. A* R. el Archiduque Elector de Salzburgo ha llegado aquí de Dresde.___Nuestras tropas destinadas a cubrir las fronteras de la Istria, Dalmácia y Albania se pondrán en el pie de guerra* Debe también formarse un cuerpo de</t>
  </si>
  <si>
    <t>Electoral de Baviera, Príncipe</t>
  </si>
  <si>
    <t>Príncipe Electoral de Baviera</t>
  </si>
  <si>
    <t>parte ha experimentado pérdidas considerables, á causa de que han estado discordes los votantes. Ei Príncipe Electoral de Baviera debe salir hoy para Gottinga , donde continuará sus estudios por o meses, y después estará otro tanto tiempo en Jena. Concluido este término saldrá á viajar por Italia y Francia acom</t>
  </si>
  <si>
    <t>Electoral de Wurtemberg, Príncipe</t>
  </si>
  <si>
    <t>Príncipe Electoral de Wurtemberg</t>
  </si>
  <si>
    <t>e S. M. la Reyna Regente de Etruria. En la misma audiencia fue presentado ai primer Cónsul S. A. el Príncipe Electoral de Wurtemberg por el Conde de Cobentzel, Embaxador de S. M. el Emperador Rey de Hungría y de Bohemia. Otros Embaxadores y Ministros extrangeros presentáron á varios sugetos de distinción de sus</t>
  </si>
  <si>
    <t>Electoral, Príncipe</t>
  </si>
  <si>
    <t>Príncipe Electoral</t>
  </si>
  <si>
    <t>Landgrave de Hesse-Darmstadt, adonde habían ido por la mañana, desde aquí, madama la Margrave y el Príncipe Electoral, madre y hermano de S.M. la Reyna. Con este motivo hubo salva de artillería, se tendió la tropa, é iluminó el puente delNecker, el paseo hasta la puerta de ía ciudad y las calles</t>
  </si>
  <si>
    <t>Eleenborough, Lord</t>
  </si>
  <si>
    <t>Lord Eleenborough</t>
  </si>
  <si>
    <t>y después que los 24 vocales, que componían el juzgado , prestaron individualmente el juramento, el Lord Eleenborough pronunció un discurso, exponiendo el objeto que se les piesentaba , y los puntos á que debian dirigir su atención. Hecho esto, el juagado de-., liberó privadamente hasta las 8 men</t>
  </si>
  <si>
    <t>Eleuterio Crispin de Andorra</t>
  </si>
  <si>
    <t>gradas de S. Felipe. Cartas críticas joco-serias, que en defensa de la literatura nacional escribía Don Eleuterio Crispin de Andorra , poeta arrepentido. Se hallará la primera carta á g rs. en esta corte en la librería de Argueta , calle de la Montera ; en Córdoba en la de Ruiz , en Granada en la de Colon, en M</t>
  </si>
  <si>
    <t>Elgin y del Ministro, Lord</t>
  </si>
  <si>
    <t>Lord Elgin y del Ministro</t>
  </si>
  <si>
    <t>gura que aquellos no evacuarán todavía á Alexandría. Las mismas cartas añaden que los esfuerzos del Lord Elgin y del Ministro bátava» para conseguir la libre navegación del mar Negro, lían sido inútiles, «asta ahora. En la Cámara alta, én la junta de ayer, el Lord Spencer dixo: qué había tres cosas que c</t>
  </si>
  <si>
    <t>Elgin, Lord</t>
  </si>
  <si>
    <t>Lord Elgin</t>
  </si>
  <si>
    <t>ayer, ha causado muy pocos daños, pues solamente han padecido algunas casas del arrabal de Pera. El Lord Elgin ha participado al ministerio que el mal estado de su salud le había obligado á solicitar que se le releve----- Dícese también que Mr. Stratton no permanecerá en Constantinopla con</t>
  </si>
  <si>
    <t>e. se halle en dichas casas. LónJres 161 de Diciembre. U na carta de Constantinopla menciona que el Lord Elgin ha sido llamado, atribuyéndolo al mal estado de su salud. Dícese quo Mr, Straton no ocupará la plaza que tenia ántes de la llegada de aquel Embaxador. Continúa siempre la misma ti</t>
  </si>
  <si>
    <t>e el navio que traía á Inglaterra los monumentos y objetos de antigüedades que nuestro Embaxador el Lord Elgin había recogido en el Levante, ha perecido en la bahía de Carigo. Haya 14 de Enero. E IConsejo.de Hacienda ha mandado pagar en esta semana los inte-* reses devengados de varios cap</t>
  </si>
  <si>
    <t>informen lo que se les ofrezca. Londres 27 de Enero. M r. Drummond está nombrado para reemplazar al;Lord Elgin, como Embaxador cerca de la Puerta; y Mr. Garlike reemplazará á Mr. Druminond en la corte de Nápoles. Son vagas y dudosas las noticias que- se esparcen sobre la situación de Irlan</t>
  </si>
  <si>
    <t>ra aqftmciar algún desorden o una gran desgracia. El Reis-Eífendi, que así se lo habia advertido ai Lord Elgin, se ha quejado de esto á Mr. Stratton, que queda de Encargado de negocios de su corte con el carácter de Ministro Plenipotenciario. También se ha notado que la carta de notificaci</t>
  </si>
  <si>
    <t>corte en Constantinopla___ Por cartas de Malta se sabe qué había llegado allí de Constantinopla el Lord Elgin, y estaba haciendo la quarentena___ El domingo en la noche salió un mensagero de estado para París con pliegos que todos dicen ser de la mayor importancia, aunque ignoran su conte</t>
  </si>
  <si>
    <t>ido orden de partir de Lugano, en donde estaba de guarnición, á Codogno, por Lodi y Plasencia----El Lord Elgin llegó de Roma á Liorna el 19 de este mes, y fué saludado por la artillería de la plaza. El General francés pasó á visitarlo, y le puso una guardia de honor. Paris 7 de Mayo. E n l</t>
  </si>
  <si>
    <t>os, han abierto en Valencienes una subscripción para socorrer á los prisioneros ingleses pobres. El Lord Elgin, que actualmente se halla en París, ha enviado á Fontainebleau 125 libras esterlinas, para que se distribuyan entre sus compatriotas necesitados que están prisioneros. Sir Fardley</t>
  </si>
  <si>
    <t>Elias Figueroa</t>
  </si>
  <si>
    <t>de voluntarios de infantería ligera segundo de Barcelona y de Campo-mayor Subtenencias de bandera á D. Elias Figueroa, Soldado distinguido del regimiento de Va</t>
  </si>
  <si>
    <t>Elias Ranz</t>
  </si>
  <si>
    <t>s; D. Manuel Blazqúez, platería frente á Sto. Tomas; viuda de Gil, hijos y sobrino, calle Imperial; D. Elias Ranz, librero,calle de la Cruz; D. Francisco María López Morelle, plazuela de Antón Martin; D.% Fernando Vargas, cerería, plazuela de S. Ildefonso; Sres. Escuza, hermanos y compañía ,</t>
  </si>
  <si>
    <t>Elies y Rubert, Antonio</t>
  </si>
  <si>
    <t>Antonio Elies y Rubert</t>
  </si>
  <si>
    <t>o sobre el origen, antigüedad y progresos de los pósitos ó graneros públicos de los pueblos, por el Dr. Antonio Elies y Rubert, de la Real Academia de buenas letras de Barcelona , y de ía de Jurisprudencia teórico-práctica de la misma ciudad. Van al fin dos Cartas críticas que dirigió á este el Dr. D. Jay</t>
  </si>
  <si>
    <t>Elio, Xavier</t>
  </si>
  <si>
    <t>Xavier Elio</t>
  </si>
  <si>
    <t>á los Tenientes Coroneles graduados, D. Miguel de los Ríos, D. Francisco Cabrera, D. Luis Padilla, D. Xavier Elio, D. Juan Chrisóstomo Trelles ,.D. Cárlos Montero, D. Vicente Martínez, D. Pedro Grimarest, D. Alonso Valdes y D. Alexandro Ojea, Sargentos mayores de los de España , Navarra , Pri</t>
  </si>
  <si>
    <t>Ellemborough, Lord</t>
  </si>
  <si>
    <t>Lord Ellemborough</t>
  </si>
  <si>
    <t>haber informado á tiempo á las dos Cámaras, debiendo participarles que la guerra era inevitable. El Lord Ellemborough hizo el elogio de los Ministros , juzgándolos dignos de toda confianza. El Conde Spencey manifestó que los estimaba, conio particulares;'pero que'como Ministros no le merecían alg</t>
  </si>
  <si>
    <t>Ellenborough, Lord</t>
  </si>
  <si>
    <t>Lord Ellenborough</t>
  </si>
  <si>
    <t>ades. El acusado recusó 25, y 9 el ¿bogado del Bey ó Fiscal.^- A las dos y diez minutos concluyó el Lord Ellenborough, Presidente del tribunal, con una exhortación á los miembros del Jury, que retirándose á un quarto, declararon, despves de media hora, que el acusado, era reo; pero lo recomendaba</t>
  </si>
  <si>
    <t>al siguiente día, y 9 de ellos declarados reos. El Coronel fué entonces conducido á la barra, y el Lord Ellenborough poniéndose su bonete habló poco mas ó menos en lo^ términos siguientes, y en un tono tan magestuoso y patético que conmovió al concurso. „De resultas de un proceso detenido é impa</t>
  </si>
  <si>
    <t>de su cabeza suprema.’*! l . . . Londres 2$ de Marzo. E n la Cámara de los Pares y junta de ayer el Lord Ellenborough pro-r puso un nuevo bilí, cuyo objeto era estatuir la pena de muerte para algunos delitos que hasta ahora no estaban sujetos á ella, como son los -actos de herir ó mutilar á una p</t>
  </si>
  <si>
    <t>Elliot</t>
  </si>
  <si>
    <t>an recibido en Suabia cartas de Ñapóles , de fines de Junio, que dicen que el nuevo Enviado ingles, Mr. Elliot, ha sido bien recibido de la corte, y que habia presentado sus credenciales al Rey. Ha tenido freqüentes conferencias con los Ministros ,y sobre todo con Mr. Acton, cuyo resultado</t>
  </si>
  <si>
    <t>ques de un enemigo sanguinario y resentido. Mr. Windham apoyó los argumentos de su honorable amigo (Mr. Elliot), y dixo, que ya fuese que el gobierno de Irlanda hubiese ó no sido sorprehendido, de todos modosera criminal. Si tuvo noticia de la insurrección, estaba culpado por no haber dado</t>
  </si>
  <si>
    <t>Elmore</t>
  </si>
  <si>
    <t>ue se exerc.ita® en el manejo de la pica, pues habiendo visto en el condado de Kiidare un criado de Mr. Elmore como de 300 á 400 hombres, se fue á reconocer el sitio que señaló, y se convencieron que había sido un cuerpo d©. caballería el que hizo el exercicio. Amsterdam 20 de Setiembre. ,</t>
  </si>
  <si>
    <t>Elphinstone, Capitán</t>
  </si>
  <si>
    <t>Capitán Elphinstone</t>
  </si>
  <si>
    <t>no se hace la paz, se declarará en favor nuestro, y en apoyo de esta noticia se cita una&gt; carta del Capitán Elphinstone, hermano del Almirante Lord Keith. Este Oficial que, con permiso del Rey, sirve en la marina rusa, debe de haber hecho mención de algunas órdenes, que supondriafn una co-operacion</t>
  </si>
  <si>
    <t>Elzaurd, Manuel Antonio</t>
  </si>
  <si>
    <t>Manuel Antonio Elzaurd</t>
  </si>
  <si>
    <t>Real... D. Ramón Antonio Pico. En Córdoba...........Sres. Barcia padre é hijo. En la Coruña........ D. Manuel Antonio Elzaurd?. En Cuenca............. Viuda de Escolar y Noriega é hijo. En Granada......... D. Francisco Unzaga. En Guadalaxara. D. Isidoro García Plaza. En Jaén............... D. Pedro y D.</t>
  </si>
  <si>
    <t>Elzaurdi, Manuel Antonio</t>
  </si>
  <si>
    <t>Manuel Antonio Elzaurdi</t>
  </si>
  <si>
    <t>*26 JSn Córdoba...*.,**. Sres. Barcia padre é hijo. En la Cortina.... . D. Manuel Antonio Elzaurdi. En Cuenca............ D. Manuel Escolar y Noriega. En Granada........D. Francisco Unzaga. En Guadalaxara. D. Isidoro García Plaza. En Jaén...............D. Pedro y Juan Esponera.</t>
  </si>
  <si>
    <t>al.,. D. Ramón Antonio Pico. En Córdoba............ Sres. Barcia padre é hijo. En la Coruña.........D. Manuel Antonio Elzaurdi. En Cuenca.............. Viuda de Escolar y Noriega é hijo. En Granada......... D. Francisco Unzaga. En Guadalaxara. D. Isidoro García Plaza. En Jaén..................D. Pedro y D</t>
  </si>
  <si>
    <t>Embaxador Champagny</t>
  </si>
  <si>
    <t>r ? . Pe Viena.escriben que el Archiduque Carlos ha dado audiencia sód lemne al Embaxador Champagny, quien le ha entregado sus'credenciales; en calidad de Ministro francés cerca del Gran Maestre de la órdeií Teutónica. _ Londres 23 de Diciembre. E n ía Camara</t>
  </si>
  <si>
    <t>Embaxador, General</t>
  </si>
  <si>
    <t>General Embaxador</t>
  </si>
  <si>
    <t>án presumir á la Sublime Puerta la alta importancia que el gobierno francés pone en esta misión. El General Embaxador me encarga particularmente de manifestar á V. E. (ó A.) la alta consideración, con que le mira, y su obligación de emplear en sus relaciones con V. E. (ó A. ) francas y amistosas</t>
  </si>
  <si>
    <t>rpretada así por el Dragomán de la Puerta. Traducción de la respuesta imperial explicada a S. E. el General Embaxador por la voz de S. E. el GranVisir, y repetida en francés por el primer intérprete del Divan imperial: ,,De parte de S. M. el muy alto, muy augusto y muy poderoso, su benignísimo So</t>
  </si>
  <si>
    <t>tan estrechamente uuia á la Puerta con la Francia.__ El Gran Visir ha dado un soberbio banquete aL General Embaxador. Semlin 21 de Marzo. E 1 nuevo Baxá de Belgrado llegó el 19 por la tarde acompañado de un cuerpo numeroso de spahis , y fue bien recibido por los xefes de los genízaros y el Baxá</t>
  </si>
  <si>
    <t>Emeterio de Tovar, Joseph</t>
  </si>
  <si>
    <t>Joseph Emeterio de Tovar</t>
  </si>
  <si>
    <t>Joseph Perez Garzón; y para una Media-Ración de la catedral de Calahorra, vacante por promoción de D. Joseph Emeterio de Tovar á una Ración de la misma igle-r sia, á D. Ignacio Andrés del Corral. . En la Compañía Americana del Real cuerpo de Guardias de Corpa ha conferido el Rey el empleo de Cadete de num</t>
  </si>
  <si>
    <t>Emeterio, Joseph</t>
  </si>
  <si>
    <t>Joseph Emeterio</t>
  </si>
  <si>
    <t>ro Atanasio y Arce á la Dígnidadyie Arcediano mayor del Salvador de la metropolitana de Zaragoza, á D. Joseph Emeterio deTovar. ... El Banco nacional de S. Carlos continuará las. sesiones de la junta general el sábado 14 de este presente mes á las 9 de la.mañana; lo que avisa á los accionistas, advir</t>
  </si>
  <si>
    <t>en xefe Leclerc, General</t>
  </si>
  <si>
    <t>General en xefe Leclerc</t>
  </si>
  <si>
    <t>inistro de la Marina y de las Colonias, fecha 9 de Noviembre último, da parte de haber fallecido el General en xefe Leclerc, en la noche del 1 al 2, de resultas de la epidemia que allí se ha padecido. Igualmente envia una certificación de las ultimas disposiciones de dicho General en xefe. El mismo Gen</t>
  </si>
  <si>
    <t>la plaza de Tolon, han publicado hoy el bando siguiente: Mañana, 27 de Enero, el cuerpo del difunto General en xefe Leclerc, Capitán general que fué de la colonia de Sto. Domingo, será trasladado del navio el Swifsture á bordo de la fragata la Cornelia, y de allí á Marsella, tn cumplimiento delas-órd-e</t>
  </si>
  <si>
    <t>o extremq, con un; gran toldo,en forma de sarcófago negro y blanco, llevando.á boydo los restos del General en xefe Leclerc, los Ayudantes de Campo de dicho General, y los granaderos del exército de Sto. Domingo venidos en el návío Swifsture.__-El bote del Prefecto, marítimo, llevando ábaj- do al Prefe</t>
  </si>
  <si>
    <t>en xefe Morder, General</t>
  </si>
  <si>
    <t>General en xefe Morder</t>
  </si>
  <si>
    <t>ra en adelante por la religión del país , 6 por la religión del Soberano. llamburgo 9 de Julio. E 1 General en xefe Morder y el General Bertier y su muger han venido como viageros meramente .por ver esta ciudad. La capitulación de Lauenburgo se va cumpliendo con exactitud. Ya han vuelto á pasar el Elba pa</t>
  </si>
  <si>
    <t>en xefe Mortier, General</t>
  </si>
  <si>
    <t>General en xefe Mortier</t>
  </si>
  <si>
    <t>l bloqueo del Elba, procedentes de varias plazas. Escriben de este puerto, con fecha.del-11, que el General en xefe Mortier y el General Berthier, habían llegado allí aquella mañana acompañadqs de muchos oficiales franceses, y que habían reconocido la situación de la ciu'dád y de sus inmediaciones. También</t>
  </si>
  <si>
    <t>en xefe Murat, General</t>
  </si>
  <si>
    <t>General en xefe Murat</t>
  </si>
  <si>
    <t>aenza, y el italiano en Riminí. Las tropas que forman la división italiana pasáron ayer revista del General en xefe Murat, y esta mañana salieron para su destino. La división francesa que se junta en el Rubicon es mucho mas fuerte que la italiana. ——Acaba de dirigir el Vice-Presidente una circular á</t>
  </si>
  <si>
    <t>en xefe Rochambeau, General</t>
  </si>
  <si>
    <t>General en xefe Rochambeau</t>
  </si>
  <si>
    <t>T99 soldados de la brigada 86: y el General en xefe Rochambeau, después de dar gracias por su buen desempeño á los oficiales de tierra y mar, particularizándose con los que mas se distinguiéron, promovió á algunos, y concedió sables de honor</t>
  </si>
  <si>
    <t>Enciso, Francisco</t>
  </si>
  <si>
    <t>Francisco Enciso</t>
  </si>
  <si>
    <t>al Deanato de la misma, á D. Antonio Cervino y Trevijano: para la Ración que este obtiene en ella á D. Francisco Enciso: para la de la catedral de Guadix, vacante por muerte de D. Pedro Joseph Sánchez, á D. Pedro de Orbe Earreátegui: para otra de la de Málaga, vacante por la promoción de D. Juan de</t>
  </si>
  <si>
    <t>Enjuanes, Joseph</t>
  </si>
  <si>
    <t>Joseph Enjuanes</t>
  </si>
  <si>
    <t>de Lérida, á D. Joseph Fernandez; y para otro de la parroquia de S. Juan de la ciudad de Zaragoza á D. Joseph Enjuanes. El Rey ha promovido á Capitanes segundos dei Real cuerpo de Ingenieros del exército á los Tenientes D. Felipe Montes y D. Manuel Otermin; y ha nombrado Capellanes del regimiento</t>
  </si>
  <si>
    <t>Eox</t>
  </si>
  <si>
    <t>stasen los motivos, sobre cuyo particular nada se habia dicho hasta ahora que pudiese satisfacer.__ Mr. Eox manifestó; que no debía usarse de precipitación en un asunto de esta naturaleza ; que parecía que la Cámara quería admitir por principio general, que quando el cambio estuviese á</t>
  </si>
  <si>
    <t>Epifanio Conuway</t>
  </si>
  <si>
    <t>á D. Laureano González, Alférez del mismo cuerpo; y á Teniente en el de cazadores de Villaviciosa á D. Epifanio Conuway, Alférez del propio regimiento. En América. El Rey se ha dignado conceder ef empleo de Tenientd Coronel del regimiento de infantería Real de Lima al Coronel D. Bar-' tolomé Arguel</t>
  </si>
  <si>
    <t>Epplen</t>
  </si>
  <si>
    <t>do sancionada por un eonclusum del Imperio. * Augsburgo nTde Diciembre. E ti Comisario civil bávaro Mr. Epplen, ha disuelto formalmente el cabildo del obispado de Augsburgo. £1 numero de Canónigos era de 40* de los quales había 36 nobles. S. A. S. el Elector de Tréveris, recibí— ti del Ele</t>
  </si>
  <si>
    <t>Erasmo GOnima</t>
  </si>
  <si>
    <t>bihan. Madrid 2$ de Octubre. E 1 Rey sé ha "servido expedir el decreto siguiente. Para manifestar á D. Erasmo GOnima, fabricante d.e hilados, texídos y estampados .en Barcelona, el alto aprecio que. me merecen su constante apli.cac&amp;on^-su ^elo y^su amor á mi Real servicio,.vengo en conceder-, le</t>
  </si>
  <si>
    <t>Eraso, Juan</t>
  </si>
  <si>
    <t>Juan Eraso</t>
  </si>
  <si>
    <t>eros, graduado de; Teniente Coronel, D. Nicolás Iberrí., y á Capitán de .granaderos al de fusileros D. Juan Eraso. : El Rey se ha dignado conceder el empleo de Subteniente de bandera en el batallón veterano de infantería de Castilla de la provincia de Yucatan á D. Manuel Francisco Díaz, Sarge</t>
  </si>
  <si>
    <t>Ernesto, Príncipe</t>
  </si>
  <si>
    <t>Príncipe Ernesto</t>
  </si>
  <si>
    <t>s ios voluntarios. En Dublin solo y en sus alrededores hay como 10© Yeomen. (*) Por el paquebote el Príncipe Ernesto, que ha llegado estos últimos dias á Falmouth^ de las islas de Sotavento, se sabe que el General Grin.field se proporiia acometer los establecimientos holandeses de las islas de D</t>
  </si>
  <si>
    <t>Errazurriz, Joseph Antonio</t>
  </si>
  <si>
    <t>Joseph Antonio Errazurriz</t>
  </si>
  <si>
    <t>rvido nombrar para la Gañongía Doctoral de la catedral de Santiago de Chile, vacante por ascenso de D. Joseph Antonio Errazurriz á la Dignidad de Tesorero de la propia catedral , á D. Joseph Santiago Rodríguez, Racionero mas antiguo de la misma. En el batallón veterano de infantería de Caracas se ha servido</t>
  </si>
  <si>
    <t>Erskine</t>
  </si>
  <si>
    <t>nes ; pero este las renovó y ratificó. Londres 14 de Marzo,. E n la Cámara de los Comunes el dia 10 Mr. Erskine habló en nombre del Príncipe de Gales, diciendo que habiendo sabido S. A. que un vocal tenia intención de hacer una nueva prepuesta relativa á sus asuntos, rogaba á la Cámara que</t>
  </si>
  <si>
    <t>s derechos y libertad del pueblo, y quanto es caro y apreciable á una nación libre e independiente. Mr. Erskine pronunció un excelente discurso. Después se levantó Mr. Pitt, y en una brillante arenga justificó la guerra presente con las agresiones de la Francia; pero sin defender la conduct</t>
  </si>
  <si>
    <t>ersidad de Edimbourg que han tomado las armas, de los abogados" que han nombrado por Coronel suyo á Mr. Erskine, de los voluntarios del teatro de Covent*-Garden, que han nombrado por segando comandante al famoso actor trágico Mr. Kemble, y del Duque de Glocester que ha establecido su quarte</t>
  </si>
  <si>
    <t>Escalada, Francisco</t>
  </si>
  <si>
    <t>Francisco Escalada</t>
  </si>
  <si>
    <t>dez; y á Subteniente de bandera en el segundo batallón de Voluntarios de Aragón al Sargento primero D. Francisco Escalada. Por el Ministerio de Gracia y Justicia se ha comunicado al Consejo con fecha de 26 de Mayo último la Real orden siguiente: ,,Para evitar las dudas que se han suscitado sobre la i</t>
  </si>
  <si>
    <t>Escalona, Juan</t>
  </si>
  <si>
    <t>Juan Escalona</t>
  </si>
  <si>
    <t>D. Francisco Pineda; á Tenientes de fusileros los Subtenientes D. Pablo Sánchez, de granaderos , y D. Juan Escalona ; á Subteniente de granaderos al de fusileros Don Ramón Ayala; á Subteniente de compañía al Sargento primero D. Angel Gutierres , y á Subtenientes de bandera, á los Cadetes D. Jos</t>
  </si>
  <si>
    <t>Escarmiento, Juan</t>
  </si>
  <si>
    <t>Juan Escarmiento</t>
  </si>
  <si>
    <t>librería de Llera. Avisos baratos en un romance jocoso sobre las presentes ferias: su autor el Lie, D. Juan Escarmiento. Se hallarán en. la librería de Quiroga , calle de las Carretas. Memorias sobre las enfermedades que se deben tener por lácteas durante el curso del preñado: su autor D. Pedro Bru</t>
  </si>
  <si>
    <t>Escobar, Francisco</t>
  </si>
  <si>
    <t>Francisco Escobar</t>
  </si>
  <si>
    <t>za de la Seo de Urgel ai Teniente Coronel D. Rafael Velarde ; y la Sargentía mayor de la de Ceuta á D. Francisco Escobar, Capitán del regimiento de infantería de Córdoba. '' En América. En el batallón de Milicias provinciales de Nueva Or^ leans serha servido el Rey promover á primer Teniente al segu</t>
  </si>
  <si>
    <t>EscobosayD, Miguel</t>
  </si>
  <si>
    <t>Miguel EscobosayD</t>
  </si>
  <si>
    <t>Montes y D. Manuel Otermin; y ha nombrado Capellanes del regimiento Real de Zapadores y Minadores á D. Miguel EscobosayD. Miguel de Totorica, que lo eran de los regimientos de infantería de Mallorca y de Navarra. S. M. se ha dignado conferir Compañía en el regimiento de caballería de España al Capit</t>
  </si>
  <si>
    <t>Escoin, Pedro</t>
  </si>
  <si>
    <t>Pedro Escoin</t>
  </si>
  <si>
    <t>a Magistral nueva-* mente erigida en la colegial de la ciudad de S. Felipe, diócesis de Valencia, á D. Pedro Escoin: para otra de la de Tremp, diócesis de Urgel, á D. Juan Ferrer y Esteban: para un Beneficio simple eclesiástico de residencia, baxo la invocación de S. Rufo y Sta. María, de la pa</t>
  </si>
  <si>
    <t>Escolar y Noriega, Manuel</t>
  </si>
  <si>
    <t>Manuel Escolar y Noriega</t>
  </si>
  <si>
    <t>*. Sres. Barcia padre é hijo. En la Cortina.... . D. Manuel Antonio Elzaurdi. En Cuenca............ D. Manuel Escolar y Noriega. En Granada........D. Francisco Unzaga. En Guadalaxara. D. Isidoro García Plaza. En Jaén...............D. Pedro y Juan Esponera. En León............. D. Pedro Gil de Tejada. En Ma</t>
  </si>
  <si>
    <t>Escovar, Christóbal</t>
  </si>
  <si>
    <t>Christóbal Escovar</t>
  </si>
  <si>
    <t>s, graduado de Capitán, D. Rafael de Lianza: Tenencia en el de Navarra al Subteniente de granaderos D. Christóbal Escovar: Compañía en el de América al Teniente de granaderos, graduado de Capitán, D. Antonio Campos; y Subtenencia en el regimiento Suizo vacante de Yann al Sargento primera D. Juan Well</t>
  </si>
  <si>
    <t>Escovar, Francisco</t>
  </si>
  <si>
    <t>Francisco Escovar</t>
  </si>
  <si>
    <t>de infantería de Córdoba se ha servido promover el al Teniente de granaderos, graduado de Capitán, Don Francisco Escovar: en el.de Zaragoza á Capitán al Ayudante del de infantería de Córdoba, graduado de Capitán, D. Francisco Montano; á Tenientes á los Subtenientes D.‘Joaquín Abad y D, Joseph Pedros</t>
  </si>
  <si>
    <t>Escriba, Joaquín María</t>
  </si>
  <si>
    <t>Joaquín María Escriba</t>
  </si>
  <si>
    <t>, habiendo cedido para los fondos- de la sociedad los de su pertenencia D. Joseph y D. Juan Flores, D. Joaquín María Escriba,, D. Antonio Lavillete, Doña Joaquina Escribá y Doña Josepha Sumbiela.*, ambas señoritas recibieron premios distinguidos de honor. Concluida»</t>
  </si>
  <si>
    <t>Escribano, Francisco</t>
  </si>
  <si>
    <t>Francisco Escribano</t>
  </si>
  <si>
    <t>ribanía, t En virtud de providencia del mismo "Sr. Teniente Corregidor , y escribanía del número de D. Francisco Escribano, se han mandado sacar á pública subasta quatro casas, correspondientes á memorias fundadas en el convento de Trinitarios calzadosjque por menor de todas ellas sOn, á saber : una e</t>
  </si>
  <si>
    <t>ene de sitio 4$ píes', Cfl 99*9S9 ,rSm Las personas que quieran hacer postura acudirán ai olicio de&gt;D. Francisco Escribano. En la ciudad de Corella, reyno de Navarra, se halla vacante la plaza de uno dé sus dos médicos titulares ^igualmente dotados con 350 ducados de á ir rs. de plaW, renta anual én e</t>
  </si>
  <si>
    <t>e sitio. La pprsona que quiera hacer postura acudirá unte dicho Sr. Juez y escribanía del número de D. Francisco Escribano. Por providencia del Sr. D. Manuel Vicente Torres y escribanía del número de D. Francisco Escribano, se ha mandado sacar nuevamente á pública subasta por término de 30 dias , cont</t>
  </si>
  <si>
    <t>Escriche, Ramón</t>
  </si>
  <si>
    <t>Ramón Escriche</t>
  </si>
  <si>
    <t>: para otra también vacante en la referida santa iglesia de Toledo, por muerte de D. Juan Cabeza, á D. Ramón Escriche: para otra de la catedral de Orense, vacante por promoción de D. Juan García de Aleña, á D. Pedro Marrtiinez: para otra de la colegiata de la villa de Monzon, diócesis de Lérida,</t>
  </si>
  <si>
    <t>Escuderil</t>
  </si>
  <si>
    <t>en la calle de Barrionuevo,numero 25, quarto segundo. Las mugeres ilustres, ó arengas hcroycas: por Mr. Escuderil 2 tomos en 8.®, á 20 rs. en pasta.rzr Tratado metódico de la sagrada Escritura y modo de explicarla: por el R. P. D. Juan Martinai, de la Congregación de S. Mauro: un tomo en 8.°,</t>
  </si>
  <si>
    <t>Escudero Guzman, Ángel</t>
  </si>
  <si>
    <t>Ángel Escudero Guzman</t>
  </si>
  <si>
    <t>venta se podrá hacer en Palencia con D. Nicasio Augustin , vecino de dicha ciudad, ó en Madrid con D. Angel Escudero Guzman, Agente de negocios del número de Indias, calle de la Gorguera. En la villa de Bernaeo* Señorío de Vizcaya, se halla vacante el magisterio á cátedra de Náutica, cuya dotación es d</t>
  </si>
  <si>
    <t>Espada, Francisco</t>
  </si>
  <si>
    <t>Francisco Espada</t>
  </si>
  <si>
    <t>tremo, en el obispado de Sigiienza, vacantes por renuncia que ha hecho de ellos D. Ventura Milán, á D. Francisco Espada; y para una Capellanía de la Real capilla de Granada, vacante por muerte de Don Francisco de Paula Fonseca y Montilla, á D. Manuel Joseph Guillen, Director y Maestro de Matemática</t>
  </si>
  <si>
    <t>Esparza Go, Antonio</t>
  </si>
  <si>
    <t>Antonio Esparza Go</t>
  </si>
  <si>
    <t>y Lerin, D. Pedro del Barco y la Cendeja, D. Francisco Saravia y Zuazo, D. Manuel Cebriaa y Castro, D. Antonio Esparza Go* méz de Bonilla, D. Vicente Cabeza de Vaca y D. Andrés Amat y Toftosa; habiendo igualmente nombrado S. M. Subtenientes del mismo cuerpo á los Cadetes de los regimientos de Reales</t>
  </si>
  <si>
    <t>Espes y Mateo, Pedro</t>
  </si>
  <si>
    <t>Pedro Espes y Mateo</t>
  </si>
  <si>
    <t>nombrar para una Ración de la parroquial de la villa de Montalban, en el arzobispado de Zaragoza, á D. Pedro Espes y Mateo. S. M. se ha servido conceder el grado de Capitán de infantería i D. Miguel Rübel, Teniente del regimiento Suizo de Schmid, en premio del zelo, actividad y bizarría con que desemp</t>
  </si>
  <si>
    <t>Espina, Francisco</t>
  </si>
  <si>
    <t>Francisco Espina</t>
  </si>
  <si>
    <t>en el pago anterior. En el Real y supremo Consejo de Hacienda, y escribanía de cámara del cargo de D. Francisco Espina, se han seguido y penden autos á instancia del Sr. Fiscal por el derecho de la Real Hacienda de una parte; y de la otra los estrados del mismo Consejo por ausencia y rebeldía de D</t>
  </si>
  <si>
    <t>Espinar, Joseph</t>
  </si>
  <si>
    <t>Joseph Espinar</t>
  </si>
  <si>
    <t>n el regimiento de infantería de Córdoba á Subteniente de bandera ai Sargento primero de granaderos D. Joseph Espinar: en el de Mallorca á Teniente al Subteniente de granaderos D. Romualdo de la Fuente; y en el batallón de Voluntarios, de Valencia á Capitán segundo al Teniente D. Lamberto Lhoneur</t>
  </si>
  <si>
    <t>Espineyra, Ramón</t>
  </si>
  <si>
    <t>Ramón Espineyra</t>
  </si>
  <si>
    <t>D. Ramón de la Quadra; y exposición de los compañeros y criaderos'de cstas^ mismas substancias, por D. Ramón Espineyra, para el uso del Real estudio mineralógico establecido en Madrid. Se hallará con las demas obras publicadas parajel referido; estudio en el despacho de la imprenta Real. Circular</t>
  </si>
  <si>
    <t>Espinos y Aray, Joseph</t>
  </si>
  <si>
    <t>Joseph Espinos y Aray</t>
  </si>
  <si>
    <t>colegial de Santa Ana de la ciudad de Barcelona., vacante por fallecimiento de Don Antonio Ponsj á D. Joseph Espinos y Aray: para una Ración de la catedral de Guadix , vacante por promoción de D. Miguel Salido á Cano 11gía de la misma iglesia, á D. Manuel García Baquero; y para un Beneficio de la parro</t>
  </si>
  <si>
    <t>Espinosa, Pedro</t>
  </si>
  <si>
    <t>Pedro Espinosa</t>
  </si>
  <si>
    <t>seph Jover: para otra Canongía de la de Huesca, vacanre por fallecimiento de D. Alexandro Ferrer, á D. Pedro Espinosa s para otra de la de Barbastro, vacante por muerte de D. Felipe de Broto, á D. Manuel de Bardaxi: para la Ración de la santa iglesia de Toledo, vacante por promoción de D. Santiag</t>
  </si>
  <si>
    <t>Estala, Pedro</t>
  </si>
  <si>
    <t>Pedro Estala</t>
  </si>
  <si>
    <t>Fon , clasificado según el sistema d« ' Idnneo por Renato Ricardo Castel, traducido é ilustrado por D. Pedro Estala, presbítero : tomo 5.0, que contiene la historia de los ximios; se ha añadido al original el discurso sobre la nomenclatura de estos animales , las adiciones de BufFon, y las de D</t>
  </si>
  <si>
    <t>Bufíbn, clasificado según el sistema de Lineo por Renato Ricardo Castel, traducido é ilustrado por D. Pedro Estala, presbítero: tomo 6.° y 2.0 de los quadrúpedos, que contiene la historia de los makis, murciélagos, rinoceronte, elefante y morsas: lleva 5 estampas que representan las .figuras d</t>
  </si>
  <si>
    <t>Buffon, clasificado según el sistema de Lineo por Renato Ricardo Castel: traducido é ilustrado por D. Pedro Estala, presbítero: tomo 7.0 que contiene la historia de los perezosos, de-los hormigueros , de Jos folidotes, de los tatus ó armadillos, de las focas y de los perros , con 6 estampas qu</t>
  </si>
  <si>
    <t>Biiffon clasificado según el sistema de Lineo por Renato Ricardo Castel, traducido é ilustrado por D. Pedro Estala, presbítero : tomo 8.°, que contiene las historia del lobo, zorra, jakal, adive, hiena, león , tigre y de todas las demas especies de este género. En las adiciones se han corregid</t>
  </si>
  <si>
    <t>ágero universal; ó noticia del mundo antiguo y nuevo , obra recopiladaI de los mejores viageros por D. Pedro Estala, presbítero, Bibliotecario'de los estií-* dios Reales de Madrid. En esta obra , que está ya enteramente Completa,5 se da una noticia exacta de todo lo mas curioso ¡ é interesante</t>
  </si>
  <si>
    <t>IIO» Linnco por Renato Ricardo Castel, traducido é ilustrado por D. Pedro Estala, presbítero: tomo io, que contiene la historia de las sarigas, topos, musgaños &amp;c., con 7 estampas en que se representan las figuras de la sariga, topo, musgaño, musgaño aquático,</t>
  </si>
  <si>
    <t>Estanislao Gautier</t>
  </si>
  <si>
    <t>cada uno de los dos últimos con el de Matemáticas por D. Tadeo Lope y la Trigonometría de Cagnoli. Don Estanislao Gautier y D. Gerónimo Martelo, por la de aritmética, con un estuche matemático á cada uno. Todas estas circunstancias, y la confianza publica que á cada paso se va adquiriendo esta escuela, p</t>
  </si>
  <si>
    <t>Este, Joaquín</t>
  </si>
  <si>
    <t>Joaquín Este</t>
  </si>
  <si>
    <t>ncepción , y los quadernos sueltos á 4§ rs. t Diccionario catalan-castellano-latino : por los Drés. D. Joaquín Este ve, Don Joseph Beívitges y D. Antonio Juglá : tomo i.° : el 2.°-y,último se está impri-: m iendo. Se hallará en la7 librería ¡de Quiroga , cálle'de las (jarretas , y en Barcelona</t>
  </si>
  <si>
    <t>Esteban Antonio Martín</t>
  </si>
  <si>
    <t>e Medellin, en la diócesis de Plasenc.ia, vacante por fallecimiento de D. E'rancisco. Sanguineto, á D. Esteban Antonio Martin: para el de la del lugar de Valdecerrato, en la diócesis de Palencia, vacante por muerte de D. ETancisco González Pascual, á D. Antonio de Riaza; y para la Prestamera de Guadalcáz</t>
  </si>
  <si>
    <t>Estebanell, Andrés</t>
  </si>
  <si>
    <t>Andrés Estebanell</t>
  </si>
  <si>
    <t>gre de la catedral de Vique, baxo la invocación de S. Lucas y S. Blas, vacante por fallecimiento de D. Andrés Estebanell, y por renuncia que hizo D. Francisco Masdemos, á D. Luciano Alaball. S. M. se ha servido nombrar para una plaza de Alcalde del crimen de la Chancillería de Granada , vacante por</t>
  </si>
  <si>
    <t>Esterhazy, Nicolás (príncipe)</t>
  </si>
  <si>
    <t>Príncipe Nicolás Esterhazy</t>
  </si>
  <si>
    <t>enviado á las colonias, y que se publique su sentencia. Alexandro.” “|7 Viena 28 de Noviembre. JCLl Príncipe Nicolás Esterhazy se ha despedido de S. M. I. el 19 de este mes. Va á Paris donde pasará.la mayor parte del. invierno , y después hará un viager á Londres. El General Colli, que en tiempos pasados</t>
  </si>
  <si>
    <t>Esterripa, Nicolás</t>
  </si>
  <si>
    <t>Nicolás Esterripa</t>
  </si>
  <si>
    <t>orga, Conde de Altamira, si sus ocupaciones se lo permitieren , y de los Sres. Consiliarios de ella Don Nicolás Esterripa , Capellán de Honor de S. M. y mayor de su Real convento de Santa Isabel de esta corte, y Lo Joaquín Olmeda y A ¡ce , ante el Escribano de la comisión D. Nicolás Fernandez de Ocho</t>
  </si>
  <si>
    <t>Estrada, Diego</t>
  </si>
  <si>
    <t>Diego Estrada</t>
  </si>
  <si>
    <t>oseph Angulo y Santa María, D. Francisco Gil de Bernabé, D. Antonio Vázquez de Aldana y del Aguila, D. Diego Estrada, D. Francisco de Paula Espinosa de los Monteros y D. Gabriel Narciso Pantoja. Y en los de infantería de Sabóya, Extremadura y Ordenes Militares, á los Cadetes del de Reales Guardi</t>
  </si>
  <si>
    <t>Estrada, Ramón</t>
  </si>
  <si>
    <t>Ramón Estrada</t>
  </si>
  <si>
    <t>el MaldonadoyD. Roque Sosvilla, el segundo á D. Francisco. Velarde, y el tercero á D. Manuel Agudo, D. Ramón Estrada y.D. Ramón Bodega. El numeroso y lucido concurso que asistió á este acto, presidido por el tribunal consular, quedó muy satisfecho de la aplicación y aprovechamiento que han manifes</t>
  </si>
  <si>
    <t>Estsrhazy, Príncipe</t>
  </si>
  <si>
    <t>Príncipe Estsrhazy</t>
  </si>
  <si>
    <t>que el Conde Saurau no volverá á Petersburgo. Aun no está nombrado su sucesor, y créese que sea el Príncipe Estsrhazy.</t>
  </si>
  <si>
    <t>ETancisco González Pascual</t>
  </si>
  <si>
    <t>Martin: para el de la del lugar de Valdecerrato, en la diócesis de Palencia, vacante por muerte de D. ETancisco González Pascual, á D. Antonio de Riaza; y para la Prestamera de Guadalcázar, en la diócesis de Córdoba, vacante por fallecimiento de D. Miguel Tbarra,á D. Valentín ¡de Iquzquiza.</t>
  </si>
  <si>
    <t>Eugenio Ahumada Guillen del Castillo</t>
  </si>
  <si>
    <t>llama y emplaza á todos los acreedores, de qualquiera clase y naturaleza que sean y tenga contra sí D. Eugenio Ahumada Guillen del Castillo, vecino de esta corte , para que (mediante haberse reunido en virtud de.providencia.del Consejo los dos concursos que tiene pendientes dicho Ahumada) concurran á su posada el dia</t>
  </si>
  <si>
    <t>Eugenio de Calzadilía y Grimatdi, Juan</t>
  </si>
  <si>
    <t>Juan Eugenio de Calzadilía y Grimatdi</t>
  </si>
  <si>
    <t>, de la-Qtiadrá de lá misma Audiencia D. Fernando María Cúrvia dé Torrevedrá; y para esta resulta á D. Juan Eugenio de Calzadilía y Grimatdi. . Asimismo ha venido el Rey en jubilar al Alcalde mayor de la ciudad de Murcia D. Joseph Ximenez de Cenarbe, y en nombrar para la expresada Vara á D. Ignacio Yanguas y Segovia: p</t>
  </si>
  <si>
    <t>Eugenio de Sampelayo</t>
  </si>
  <si>
    <t>biendo llegado á su destino, se suplica al sugeto en cuyo poder se hallen, los entregue en Madrid á D. Eugenio de Sampelayo, ó en Zamora al referido D. Clemente Rodríguez. En la villa del Viso del Marques, provincia de la Mancha, y á una legua de dicha villa y sitió llamado Navaredonda, término de la C</t>
  </si>
  <si>
    <t>Eugenio Lúeas</t>
  </si>
  <si>
    <t>sileros al Subteniente de granaderos D. Miguel Piñeyro; á Subteniente de granaderos al de fusileros D. Eugenio Lúeas, y á Subtenientes de bandera al Cadete D. Vicente Castilla y al Sargento primero de granaderos D. Joseph Perez; y en el de infantería de Nueva-España á Teniente al Subteniente D.</t>
  </si>
  <si>
    <t>Eugenio Miguel Fernández Maídonado</t>
  </si>
  <si>
    <t>: para la de la de Castrotorafe á D. Pascual Alpuente : para la del Gobierno de la villa de Ocaña á D. Eugenio Miguel Fernandez Maídonado, todas en el territorio de la orden de Santiago; y para la del Gobierno de la villa de Valencia de Alcántara, territorio de esta orden, á D. Rafael Abreu del Moral; todas tres de</t>
  </si>
  <si>
    <t>Eugenio Ramón de Azcarraga</t>
  </si>
  <si>
    <t>al Teniente, graduado de Capitán, D. Jacinto Peretti: en el de Montesa Compañías al Ayudante mayor D. Eugenio Ramón dé Azcarraga y al Teniente D. Juan Frasnedo; Ayudantía al Teniente, graduado de Capitán , D. Joseph Campos; Tenencia al Alférez D. Juan Cabrera , y el empleó de Alférez al Portaestandarte DvJpsé</t>
  </si>
  <si>
    <t>Eugenio Tapia, Joseph</t>
  </si>
  <si>
    <t>Joseph Eugenio Tapia</t>
  </si>
  <si>
    <t>tt varios á solicitar el remedio quando ya no lo había. Por fortuna remitió á este tiempo de Madrid D. Joseph Eugenio Tapia, Vicario de esta ciudad, un poco de fluido vacuno á Rodríguez, que á pesar de las contradicciones dei temor, ha continuado.propagando tan saludable práctica, que ya ha introducido</t>
  </si>
  <si>
    <t>Eugenio Tarrio</t>
  </si>
  <si>
    <t>á los Tenientes D. Joseph Quiñones y D. Tomas Delgado} á Tenientes á los Subtenientes de granaderos D. Eugenio Tarrio, D. Ra-t fael García y D. Manuel Urrutia, y á Subtenientes de granaderos á lo} de fusileros D. Patricio Gandía, D. Pedro Silva y D. Casimiro Estevas.' Con fecha de ió de Febrero s</t>
  </si>
  <si>
    <t>Eugenio Ximeno</t>
  </si>
  <si>
    <t>Joseph Lasala; á Sub-Brigadier al Cadete D. Pedro Torres; á Cadetes de número á los supernumerarios D. Eugenio Ximeno y D. Antonio Barreyro, y á supernumerario á D. Francisco Arteaga-.y en la Compañía Flamenca del mismo Real cuerpo á Exento de número ál supernumerario D. Adrián Cardón, y á supernumer</t>
  </si>
  <si>
    <t>Eugenio y de Antonia Vidal</t>
  </si>
  <si>
    <t>711 Se desea saber sí existe Bartolomé Martínez, hijo de Eugenio y de Antonia Vidal, natural de Valencia; y sí hubiese fallecido, en qué parroquia está enterrado. Quien tenga noticia de ello dará aviso á Francisco Xavier Navarro en dicha ciudad, en la plaza del Mercado, c</t>
  </si>
  <si>
    <t>Eugenio, Príncipe</t>
  </si>
  <si>
    <t>Príncipe Eugenio</t>
  </si>
  <si>
    <t>el comercio. Pía muerto un anciano de i 03;. años de edad» que.se halló en todas. las campañas del Príncipe Eugenio, en las que recibió varias heridas.' Se casó á la edad de 50 años, y había vivido de su trabajo en clase de jornalero hasta la edad de 97 años; en cuyo tiempo no pudiendo mantener</t>
  </si>
  <si>
    <t>en la batalla de Maljílaquety donde las tropas aliadas, á las órdenes del Duque de Marlboroug y el Príncipe Eugenio, vencieron á los franceses, mandados por VUiars y Boufflcrs. Entre ellos hay también una bandera tricolor, con la divisa de la libertad 6 la muerte, que sin duda pertenecía á un b</t>
  </si>
  <si>
    <t>Eüio</t>
  </si>
  <si>
    <t>Canciller del Echiquier propuso que diese esta punto hasta eí 3 !de Febrero próximo. Opúsose á ello Mr. Eüio&gt;t, fundándose en la crítica situación en que se hallaban, y que pedia la¡s mayores precauciones , y la mas continua vigilancia, j,Me admira, anadio, que se haga á la Cámara ,esta</t>
  </si>
  <si>
    <t>Eulgeneio Gutiérrez</t>
  </si>
  <si>
    <t>smo concejo de Aller, que en la misma forma acreditó ,téner plantados Iy&gt;pre$os 17s© avellanos^ y á D. Eulgeneio Gutiérrez de¡ Llamas, de Aller, 5©o rs. por‘éb-accessit en este plantío, cuyo numero fuá dé 1410 pies. Pesca. A Juan Gutiérrez y Eulalia de Vivigo, vecinos del puerto de Cudillero , por haber</t>
  </si>
  <si>
    <t>Eúrgos, Joseph</t>
  </si>
  <si>
    <t>Joseph Eúrgos</t>
  </si>
  <si>
    <t>la. FJ Rey se ha servido nombrar para una Canongía de la catedral de Segovia, vacante por muerte de D. Joseph Eúrgos, á D. Mateo Romano: para la Dignidad de Arcipreste de la catedral de Guadix, vacante por ascenso de D. Antonio Mancebo y Torres á la de Tesorero de la colegial de Baza, á D. Panta</t>
  </si>
  <si>
    <t>Eusebio de Coca, Joseph</t>
  </si>
  <si>
    <t>Joseph Eusebio de Coca</t>
  </si>
  <si>
    <t>arez de Lara, D. Ricardo de, Salcedo, I). Antonio del Hierro y Oliver, D. Joaquín Somoza y Losada , D. Joseph Eusebio de Coca y D. Diego Marín Capdevila. Por el Ministerio de Hacienda se ha comunicado con fecha de 14 de Octubre la Real orden siguiente: Al Señor Grobernador Subdelegado de Rentas de Cádiz le d</t>
  </si>
  <si>
    <t>Eusebio de Herrera</t>
  </si>
  <si>
    <t>Guardias de Corps ha promovido el Rey á primeros Tenientes á los segundos D. Celedonio ¿gúizabal y D. Eusebio de Herrera; ú segundo Teniente ai Alférez Don</t>
  </si>
  <si>
    <t>Eusebio Escudero</t>
  </si>
  <si>
    <t>Joseph Llopis; y en el de la Princesa el mismo empleo de Ayudante al Teniente, graduado de Capitán, D. Eusebio Escudero. Asimismo se ha servido S. M. conferir en el regimiento de infantería de Africa el empleo de Ayudante al Teniente, graduado de Capitán, D. Joseph de Mazarrasa: en el de Zamora el</t>
  </si>
  <si>
    <t>Eustaquio Moreno la Real, Joseph</t>
  </si>
  <si>
    <t>Joseph Eustaquio Moreno la Real</t>
  </si>
  <si>
    <t>cipiarán el sábado 10 del corriente. Por el Ministerio de Gracia y Justicia se ha comunicado al Sr. Don Joseph Eustaquio Moreno la Real orden siguiente, con fecha de 24 del mes próximo pasado. ,, A repetidas instancias ¡de V- E. por su edad y achaques, ha venido el Rey en exonerarle d,el Gobierno del Consejo, dexá</t>
  </si>
  <si>
    <t>Eustaquio Moreno, Joseph</t>
  </si>
  <si>
    <t>Joseph Eustaquio Moreno</t>
  </si>
  <si>
    <t>s Viales, saldrán los de la presente renovación de i.° de Enero de 1804 con la firma del Excmo. Sr. D. Joseph Eustaquio Moreno, como Gobernador, del Consejo, sin embargo de serta actualmente el Excmo. Sr. Conde de Montarco. En la villa.de Talavera'de la Reyna se halla vacante la plaza de Matrona, dotada c</t>
  </si>
  <si>
    <t>Eustaquio Torrecilla, Francisco</t>
  </si>
  <si>
    <t>Francisco Eustaquio Torrecilla</t>
  </si>
  <si>
    <t>amo de Santo Domingo de la villa de Muía, en la diócesis de Cartagena, vacante por fallecimiento de D. Francisco Eustaquio Torrecilla. En el regimiento de infantería de Zaragoza se ha servido promover el Rey á Capitán al Ayudante, graduado de Gapitan , D. Joseph Pió de Hore; y á Ayudante ai Teniente de granadero</t>
  </si>
  <si>
    <t>Eustasio Albornoz</t>
  </si>
  <si>
    <t>cazadores del Rey Compañía al Ayudante, graduado dé Capitán, D. Luis Giglioti; Tenencia al Alférez D. Eustasio Albornoz , y él empleo de Alférez al Cadete D. Joseph Velez: en el de cazadores de Pa-V vía Tenencia ál Alférez D. Luis lriarte: en el de cazadores de Villaviciósa Compañía al Teniente D.</t>
  </si>
  <si>
    <t>Eximeno, Antonio</t>
  </si>
  <si>
    <t>Antonio Eximeno</t>
  </si>
  <si>
    <t>s de capilla impugnación; á^lá obra Oríg'eín 'y regláis dé la musitá qué ¡escribió el Abate español D. Antonio Eximeno *. su autor D. Agustín Iránzó y Hérré’rip-, Maestro de capilla de la:colegial de Alicante. Se hallará en la librería dé Barco , carrera de San Gerónimo , en Valencia en la de Jorg</t>
  </si>
  <si>
    <t>Ezpeleta, Joaquín</t>
  </si>
  <si>
    <t>Joaquín Ezpeleta</t>
  </si>
  <si>
    <t>o se ha servido S. M. conferir Compañía en el regí miento de infantería de Jaén á su caballero Page D. Joaquín Ezpeleta: Tenencias en el de Córdoba y en el segundo batallón de Voluntarios de Barcelona á los Subtenientes D. Juan Cárlos de Soto, de granaderos, y D. Alexo Mestres: Subtenencias de band</t>
  </si>
  <si>
    <t>Fabián de Fonseca</t>
  </si>
  <si>
    <t>. Gerónimo ;Neff y D. Francisco Xavier Marchal. ¡ : ..... En atención, á los méritos y seryiqios de D. Fabián de Fonseca, sé ha dignado el Rey concederle honores de Intendente’de exérejto.; En atención á los dilatados servicios , avanzada edad y achaques de, D. Ramón Iñiguez de Beortegui , Oidor del</t>
  </si>
  <si>
    <t>Fabian Lagoanere</t>
  </si>
  <si>
    <t>. Joaquín García: en el primer batallón de Voluntarios de Aragón á Subteniente de bandera al Cadete D. Fabian Lagoanere; y en el batallón de Voluntarios de Valencia á Capitán segundo ai leniente y segundo Ayudante D. Antonio Miguel de Troncoso. En América. El Rey se ha servido nombrar Sargento mayo</t>
  </si>
  <si>
    <t>Fabian López y González</t>
  </si>
  <si>
    <t>ara un Beneficio del Coto de Labio, en el arciprestazgo de Pravia de Allende, obispado de Oviedo, á D. Fabian López y González; y para otro de Santa Eulalia de Cueras, en Cangas de Tineo, y el de Santa María de Regla de Corlas, en el mismo concejo y obispado de Oviedo, á D. Pedro Sánchez de Valboa y López</t>
  </si>
  <si>
    <t>Fabre</t>
  </si>
  <si>
    <t>e; el primero de ellos. Tratado sobre diferentes puntos de fisiología, patología y terapéutica, por Mr. Fabre , traducido del francés por D. Juan Antonio González*, el mérito del autor da bien á conocer la utilidad de su obra, por lo que no hay que hacer análisis de ella, solo renovar al</t>
  </si>
  <si>
    <t>Falcó, Tomás</t>
  </si>
  <si>
    <t>Tomás Falcó</t>
  </si>
  <si>
    <t>ados D. Joseph Correa y D. Juan Arenas: en el de Algarve Compañía al Ayudante, graduado de Capitán, D. Tomas Falcó; y Ayudantía al Teniente, graduado de Capitán, D. Nicolás del Campo: en el de Calatrava Ayudantía al primer Teniente reformado D. Ramón Ramal; el empleo de Alférez al Portaestanda</t>
  </si>
  <si>
    <t>Falcon de Salcedo, Ramón</t>
  </si>
  <si>
    <t>Ramón Falcon de Salcedo</t>
  </si>
  <si>
    <t>Visitación, vulgo las Salesas al Barquillo de esta corte; habiendo sido su consagrante el limo. Sr. D. Ramón Falcon de Salcedo, Obispo de Zamora y electo de Cuenca, y asistentes los limos. Sres. D. Francisco de la Cuerda, Obispo que fué de Puerto Rico, y D. Fr. Cirilo de Barcelona, Obispo de Tricali; y su</t>
  </si>
  <si>
    <t>. M.. se lia servido nombrar para la Iglesia y -Obispado de Zamora, vacante por translación del Sr. D. Ramón Falcon de Salcedo á la Iglesia y Ob ispado de Cuenca , al Sr. D. Joaquín Carrillo Mayoral, Dean primera silla y Canónigo de la catedral de Lérida *, y para el de Pamplona, vacante también por trans</t>
  </si>
  <si>
    <t>Falcon y Salcedo, Ramón</t>
  </si>
  <si>
    <t>Ramón Falcon y Salcedo</t>
  </si>
  <si>
    <t>bispado de Cuenca , vacante por fallecimiento del limo. Sr. D. Antonio Palafox y Croy¿ al limo. Sr. D. Ramón Falcon y Salcedo, Obispo de Zamora. S. M. se ha dignado nombrar para la Dignidad de Chantre de la catedral de Cartagena , vacante por fallecimiento de D. Pedro Manuel del Moral, á D. Ramón López P</t>
  </si>
  <si>
    <t>Falques, Antonio</t>
  </si>
  <si>
    <t>Antonio Falques</t>
  </si>
  <si>
    <t>e al Subteniente D. Antonio Morales: en el de Asturias á Sargento mayor al Capitán del de la Corona D. Antonio Falques : en el fixo de Ceuta á primer Subteniente al segundo D. Simón Romero, y á segundos Subtenientes ai Sargento primero D. Antonio Malavia, y al Cadete, graduado de Subteniente, D. F</t>
  </si>
  <si>
    <t>Falques, Joseph</t>
  </si>
  <si>
    <t>Joseph Falques</t>
  </si>
  <si>
    <t>a al del propio cuerpo D. Juan Naghteñ: la del de Cantabria al del de Sevilla, graduado de Coronel, D. Joseph Falques : la del de Hibernia al dél mismo cuerpo, graduado de Coronel, Di Lorenzo Flood: la del de Ultonia al del de Extremadura D. Bernardo de Velasco: la del de Aragón al del propio cue</t>
  </si>
  <si>
    <t>Fanjuri, Estéban</t>
  </si>
  <si>
    <t>Estéban Fanjuri</t>
  </si>
  <si>
    <t>ada, uno/deh fondo de ia iSbéiedíad; y ett aténdidfi:á;la constante aplicación y aprovechamiento de D, Estéban Fanjuri* que han recomendado el director y maestro, único aspirante al primer premio, que 110 ha llenado, se le ha gratificado con 200 rs---- Verificada esta adjudicación, se han cantado</t>
  </si>
  <si>
    <t>Fardley</t>
  </si>
  <si>
    <t>ibras esterlinas, para que se distribuyan entre sus compatriotas necesitados que están prisioneros. Sir Fardley ha dado con el mismo fin $0 libras esterlinas, ademas de los donativos particulares que ha hecho á muchos individuos; y Mr. de Perregaux ha dado otras 50 libras. En la lista de la</t>
  </si>
  <si>
    <t>Farquhar</t>
  </si>
  <si>
    <t>o, Jtdn 22 de Enero de 1803 Gobernador general en su consejo ha confirmado el nombramiento hecho de Mr. Farquhar como comisario del gobierno ingles , para la entrega de los establecimientos orientales, á la República bátava, conforme al tratado concluido en Amiens en 27 de Marzo de 1802. (Ex</t>
  </si>
  <si>
    <t>Faustino Rodríguez</t>
  </si>
  <si>
    <t>l valor de nuestros guerreros. jFzrw¿?¿/í?.=:Bonaparte.” Ocaña jo de Mayo. D on Faustino Rodríguez, Cirujano titular de esta villa, noticioso de que el Cirujano de Cámara D. Ignacio Lacaba propagaba el pus vacuno en el Real sitio de Aranjuez en el año próximo pasado, procuro avistarse co</t>
  </si>
  <si>
    <t>Fausto Araga</t>
  </si>
  <si>
    <t>do con conocimiento y oportunidad. Se adjudicaron premios á D. Joseph Junco, D.' Diego "Norzagaray, D. Fausto Araga y D. Juan Demarch , sorteándose otro entre D.-Joseph María Codes y D. Romualdo Martínez, habiendo tocado al primero. Se mandó dar certificación de distinción á D. Domingo Xaramillo, r</t>
  </si>
  <si>
    <t>Faxardo, Antonio Estéban</t>
  </si>
  <si>
    <t>Antonio Estéban Faxardo</t>
  </si>
  <si>
    <t>Cádiz y Barcelona en las de D. Alfonso Prieto y D. Joseph Ignacio Mollar, y en Valencia en casa de D. Antonio Estéban Faxardo; en las precitadas tres ciudades á 29 rs. Colección de santos mártires , confesores y varones venerables del clero secular : su autor el Cura de Lucena, D. Fernando Ramiréz de Luq</t>
  </si>
  <si>
    <t>Fay, Márcos Antonio</t>
  </si>
  <si>
    <t>Márcos Antonio Fay</t>
  </si>
  <si>
    <t>eniente de él, grádúáao aé Cap i tari , D. Pabló Sacristán, y Subtenencias de bandera á los Cadetes D. Márcos Antonio Fay y D. Andrés de Castro: en el de Zamora Compañía al Ayudante, con grado de Capitán, D. Antonio Boggiefó; Ayudántíá'al Teniente, graduado de Ca-ipitan, D. Mariano Vázquez, y Subtenencia</t>
  </si>
  <si>
    <t>Febrero, Joseph</t>
  </si>
  <si>
    <t>Joseph Febrero</t>
  </si>
  <si>
    <t>icación é injusticia notoria, con sus correspondientes formularios :* todo lo qual pasó en silencio D. Joseph Febrero. Se venden sueltas y. con el’ Febrero reformado ep la librería de Castillo, á 22 rs. en pasta y á 18 en pergamino. Carta de un hijo á-su madre sobre su conversión y profesión en e</t>
  </si>
  <si>
    <t>Federé, Francisco Manuel</t>
  </si>
  <si>
    <t>Francisco Manuel Federé</t>
  </si>
  <si>
    <t>tratado de Medicina legal y de higiene pública, escrito en francés por el ciud. Francisco Manuel Federé , Médico del hospital de Caridad de la ciudad de Marsella, y traducido al castellano: tomo 8.° y último, que comprehende los puntos siguientes: deJá conservación de los hombres en las ciud</t>
  </si>
  <si>
    <t>Federico, Henrique (príncipe)</t>
  </si>
  <si>
    <t>Príncipe Henrique Federico</t>
  </si>
  <si>
    <t>á SS. MM. y AA., y de ser igualmente dias de la Reyna viuda de Etruria. Con motivo de la muerte del Príncipe Henrique Federico, tio del Rey de Prusia, ha mandado el Rey que se vista la corte de luto durante seis días, empezando el domingo próximo 28 del corriente. El Rey se ha servido nombrar para una Can</t>
  </si>
  <si>
    <t>Federico, Príncipe</t>
  </si>
  <si>
    <t>Príncipe Federico</t>
  </si>
  <si>
    <t>ponerse en marcha para volver á Seelandia; el regimiento del Príncipe Real está en marcha, y el del Príncipe Federico</t>
  </si>
  <si>
    <t>ica-,' está empeñado en restablecer su felicidad. * ■. Copenhague 2 de Octubre. I Ll regimiento ded Príncipe Federico , que ha venido desde ITolsteiit por ihar j ha padecido mucho en su travesía á causa de una tempestad violentá.» Ürtbjde los buques de transporte, que llevaba una compañía de arti</t>
  </si>
  <si>
    <t>Felipe Antonio</t>
  </si>
  <si>
    <t>arecido las parará el perjuicio que hay’a lugar.. Se solicita saber el paradero de los herederos de D. Felipe Antonio, de Navas; natural del lugar de FuencarraJ, y residente en la ciudad de Lima ó de los Reyes en el Perú por los años de 1755 Y 56.. El que tuviere alguna noticia se servirá comunic</t>
  </si>
  <si>
    <t>Félix Antonio</t>
  </si>
  <si>
    <t>al de Sta.‘ Cruz; D: Vale ntiñ Retes,calle de las Postas; Don Manu.e.LM&amp;üJIe,..calie.dc la Montera; D. Félix Antonio. .Goyri, calle de</t>
  </si>
  <si>
    <t>la de la de Yecla á D. Francisco de Verea y Cornejo; y para la die la de Bodonal, que este dexa, á D. Félix Antonio de. Ramos. También se ha servido; S. M. nombrar para la Vara de Alcalde mayor de la villa de Caraváca, de tercera clase-á D. Manuel Antonio Rui* de Castañeda: para la de Montanehes,</t>
  </si>
  <si>
    <t>Femando</t>
  </si>
  <si>
    <t>n la librería de Francés, calle de las Carretas: su precio 5 rs. Memorias para la vida del Sto. Rey D. Femando, dadas á luz por D. Miguel de Manuel y Rodríguez , Bibliotecario primero de los Reales estudios de Madrid, quien las dedica á la -Reyna nuestra Señora, que Dios guardfc. El nombre</t>
  </si>
  <si>
    <t>Fenelonen las Aventuras de Telémaco</t>
  </si>
  <si>
    <t>os jóvenes vale tener canas á su lado : drama histórico-trágico y político , tomado el argumento de Mr. Fenelonen las Aventuras de Telémaco ; traducido en verso por D. Antonio Cabellos y Mesas: un tomo en 8.° á 4 rs. en rústica, rzzDiscursos políticos y morales deducidos de la historia de los Emperadores Romanos : esc</t>
  </si>
  <si>
    <t>Ferera, Joseph Nicolás</t>
  </si>
  <si>
    <t>Joseph Nicolás Ferera</t>
  </si>
  <si>
    <t>ra del pueblo de Penjamo; y para la Canongía Lectoral de la iglesia de Cuba , vacante por muerte de D. Joseph Nicolás Ferera, al Dr. D. Vicente Palacios. En el batallón de Milicias disciplinadas de infantería de Puerto Príncipe, en la isla de Cuba, se ha servido el Rey promover á Capitán de granaderos a</t>
  </si>
  <si>
    <t>Fermín Joseph Baylin</t>
  </si>
  <si>
    <t>rancisco Hernández; yá Capitán primero en el batallón de Voluntarios de Valencia al Capitán segundo D. Fermín Joseph Baylin. En América. El Rey se na servido nombrar para el Obispado de Puerto-Rico, vacante por fallecimiento de D. Fr. Juan Bautista de Zengotita, al Dr. D. Juan Alexo de Arizmendi: para</t>
  </si>
  <si>
    <t>Fermín Pérez, Antonio</t>
  </si>
  <si>
    <t>Antonio Fermín Pérez</t>
  </si>
  <si>
    <t>ronel, D. Agustin Blake: la del de Burgos al Capitán, del de Sevilla, graduado de Teniente Coronel, D. Antonio Fermín Perez: la del de Murcia ai Capitán del de Córdoba, graduado de Teniente Coronel, D. Santiago de Vargas: la del de Irlanda al Capitañ del de IJltonia D. Miguel Commins: la del de Navarra</t>
  </si>
  <si>
    <t>Fermín Quadros</t>
  </si>
  <si>
    <t>D. Andrés de León, á D. Joseph de Viu: para la Ración que este dexará en la propia metropolitana á Don Fermín Quadros, Capellán de Coro de la misma: para una Canongía de la colegial de Santillana, diócesis de Santander, vacante por fallecimiento de D. Joseph Perez de la Sierra, á D. Joseph Antoni</t>
  </si>
  <si>
    <t>ta de Emparan; y para ia Capellanía de Coro de la santa iglesia de Toledo, vacante por promoción de D. Fermín Quadros á una Ración de la misma iglesia, á D. Cándido Peces. . El Rey se ha servido Conferir Compañía en el regimiento de infantería de Navarra al Teniente, graduado de Capitán, D.? Igna</t>
  </si>
  <si>
    <t>Fern, Archiduque</t>
  </si>
  <si>
    <t>Archiduque Fern</t>
  </si>
  <si>
    <t>nia que hubo con tan plausible motivo. ’ * Sdzburgo 2 de May», _ El 28 del mes último llegó aquí el Archiduque Fern; dql Conde de Manfredini y del Marques Cuppom. Este Principe lúe recibido con salva de artillería, con toque de campanas , y en medio .de las aclamaciones de todos ios habitantes.</t>
  </si>
  <si>
    <t>Fernández Cavada, Nicolás Antonio</t>
  </si>
  <si>
    <t>Nicolás Antonio Fernández Cavada</t>
  </si>
  <si>
    <t>stante las tribunas. Madrid 17 de Junio. E I Rey se ha servido hacer merced de Título de Castilla á D. Nicolás Antonio Fernandez Cavada, Alvaro de los Ríos, Maestrante de la Real de Ronda y vecino dei lugar de Mata, Concejo de S. Felices, del Valle de Buélna, en las montañas y obispado de Santander, para sí, sus h</t>
  </si>
  <si>
    <t>Fernández de Córdoba, Antonio</t>
  </si>
  <si>
    <t>Antonio Fernández de Córdoba</t>
  </si>
  <si>
    <t>vido nombrar para la Dignidad dé Maestrescuela de la metropolitana de Manila, vacante por muerte de Don Antonio Fernandez de Córdoba, á D. Juan Anselmo Medrano, Dignidad de Tesorero de la propia metropolitana: para esta resulta al Canónigo Doctoral de la misma D. Joseph Xavier de Torres; y para la Canongíá Dodt</t>
  </si>
  <si>
    <t>Fernández de Cosío, Ventura</t>
  </si>
  <si>
    <t>Ventura Fernández de Cosío</t>
  </si>
  <si>
    <t>separado, y tiene otros varios emolumentos. Los que pretendan esta plaza dirigirán su pretensión á D. Ventura Fernandez de Cosío, Regidor, Procurador general de dicho partido, dirigiéndola por Aguiiar de Campó, Potes, Buyezo. Número xxxvii del Memorial literario, ó biblioteca periódica de ciencias y artes.</t>
  </si>
  <si>
    <t>Fernández de la Cámara, Antonio</t>
  </si>
  <si>
    <t>Antonio Fernández de la Cámara</t>
  </si>
  <si>
    <t>nte por promoción de D. Pedro Gutiérrez de Cos á la Canongía Doctoral de la propia metropolitana, á Don Antonio Fernandez de la Cámara, Cura de Guaras, en dicho arzobispado ; y para la segunda Media-Ración de la propia metropolitana, vacante por promoción á una Ración de la misma de D. Miguel Dulce, á Don Henriqu</t>
  </si>
  <si>
    <t>Fernández de Luna, Luis</t>
  </si>
  <si>
    <t>Luis Fernández de Luna</t>
  </si>
  <si>
    <t>sia y Real capilla de la Cruz de la ciudad de Náxera, diócesis de Calahorra, vacante, por muerte de D. Luis Fernandez de Luna, á D. Braulio del Val. En el regimiento de Reales Guardias Españolas se ha servido promover el Rey á Capitanes á los primeros Tenientes y Comandantes de granaderos D. Manuel Franc</t>
  </si>
  <si>
    <t>Fernández de Ochoa, Nicolás</t>
  </si>
  <si>
    <t>Nicolás Fernández de Ochoa</t>
  </si>
  <si>
    <t>aren en la rifa, y el número de la misma cédula rubricada por el Escribano de los Reales hospitales D. Nicolás Fernandez de Ochoa. El precio del importe de las relativas al relox de sobremesa será de quatro rs. de vn., y de uno el de las que corresponden al de faltriquera , habiéndose ar</t>
  </si>
  <si>
    <t>vento de Santa Isabel de esta corte, y Lo Joaquín Olmeda y A ¡ce , ante el Escribano de la comisión D. Nicolás Fernandez de Ochoa ; y advirtíenao que se dará principio al sorteo por el relox pequeño de faltriquera, y verificado este se procederá sucesivamente al de! grande de sobremesa , baxo las formalidade</t>
  </si>
  <si>
    <t>io del libro á que corresponda la misma cédula, rubricada por el Escribano de los Reales hospitales D. Nicolás Fernandez de Ochoa: el precio del importe de las relativas al relox, que se expresa al principio de este aviso,será de 2 rs. , y el de tedas las demas que se han indicado hasta su conclusión el de 3</t>
  </si>
  <si>
    <t>Fernández de Uceda, Joseph</t>
  </si>
  <si>
    <t>Joseph Fernández de Uceda</t>
  </si>
  <si>
    <t>------- ------ - ’ Por,mandado dd Sr. Alcalde de corte D. Tomas Movano,y escribanía de provincia de D. Joseph Fernandez de Uceda^ se vende un oficio de Procurador de lo» Reales .Consejos, y sp ha mandado sacar á pública subasta y remate por término dé jiojdi^s, quq darr principio el dia 4 del corriente ,l l</t>
  </si>
  <si>
    <t>alde de corte D. Tomas Moyano,en virtud de órdenes superiores , y por la escribanía de provincia de D. Joseph Fernandez de Uceda , se han sacado á pública subasta y remate por término de 30 días, contados desde el 16 de este, cinco casas situadas en esta corte, baxo la tasa que de ellas se hizo en el año de</t>
  </si>
  <si>
    <t>o ha señalado, el dia 1 2 del presente mes, á las 11 de su mañana, en la escribanía de provincia de D. Joseph Fernandez de Uceda, el remate de una casa, situada en la cálle de Fuencarral, distinguida con elnúm. 4, en la manz. 348, tasada en el año de 1795 en la cantidad de 95,557 rs., á la que se ha hecho p</t>
  </si>
  <si>
    <t>Fernández de Vallejo, Francisco</t>
  </si>
  <si>
    <t>Francisco Fernández de Vallejo</t>
  </si>
  <si>
    <t>del año próximo pasado falleció en esta corte á los 60 años, 8 meses y 5 dias de edad el Excmo. Sr. D. Francisco Fernandez de Vallejo, Comendador de ViUamayor en la orden de Santiago, Gobernador déla plaza de S. Fernando de Figueras, y Teniente General rie ios Reales exércitos. Sirvió á Sv M. por espacio de 41 a</t>
  </si>
  <si>
    <t>Fernández de Vallejo, Juan Joseph</t>
  </si>
  <si>
    <t>Juan Joseph Fernández de Vallejo</t>
  </si>
  <si>
    <t>rar para la Abadía de S. Salvador, dignidad de la catedral de Patencia, vacante por la promoción de D. Juan Joseph Fernandez de Vallejo ai ArcédianatO de Alcor, dignidad de la mistna iglesia, á D. Pedro Trejo Calleja: para una Canongía de la catedral de Urgel á D. Juan Nolla: para una Ración de la parroquial de la</t>
  </si>
  <si>
    <t>Fernández del Cueto, Joseph</t>
  </si>
  <si>
    <t>Joseph Fernández del Cueto</t>
  </si>
  <si>
    <t>regimiento de infantería de Cuba se ha servido el Rey promover á Capitán al Teniente de granaderos D. Joseph Fernandez del Cueto; á Teniente de granaderos al de fusileros D. Joaquín Horruitiner; á Tenientes á los Subtenientes de granaderos D. Rafael Gavino de Zequeyra y D.Ignacio Loysel; á Subtenientes de g</t>
  </si>
  <si>
    <t>Fernández del Valle, Juan</t>
  </si>
  <si>
    <t>Juan Fernández del Valle</t>
  </si>
  <si>
    <t>subscribe en la librería de Escribano, calle de las Carretas, á 10 rs. á la rústica. Es original de D. Juan Fernandez del Valle , cirujano de nú-r hiero de los Reales hospitales General y de la Pasión. Prontuario de testamentos y contratos. Este es un compendio con muchas adiciones de la bien conocida obra</t>
  </si>
  <si>
    <t>ería de Escribano, calle de las Carretas, adonde iran ios subscriptores á recogerlo. Es original de D. Juan Fernandez del Valle , cirujano del número de los Reales hospitales. También se Itallarán en la misma librería las obras siguientes del mismo autor: Cirugía forense general y particular : e^tá dividid</t>
  </si>
  <si>
    <t>Fernández Gamonal, Antonio</t>
  </si>
  <si>
    <t>Antonio Fernández Gamonal</t>
  </si>
  <si>
    <t>aría Segovia, D. Serafín María López, D. Andrés Martin y Galindez, D. Diego Manuel de Oca y Armijo, D. Antonio Fernandez Gamonal y D. Fernando Velasco y Cartillo. ..... En América. S. M. se ha dignado promover á Alféreces del regimiento de dragones de Buenos-Ayres á los graduados D. Pedro Nolasco y Don. Christo</t>
  </si>
  <si>
    <t>Fernández Mafízanedo, Francisco</t>
  </si>
  <si>
    <t>Francisco Fernández Mafízanedo</t>
  </si>
  <si>
    <t>vacante por promoción de D. Juan Gómez de Robles á la Dignidad de Capiscol de la misma colegial, á D. Francisco Fernandez Mafízanedo: para otra de la catedral de Falencia, vacante por muerte de D. Joseph Diez Quijada y Ovejero, á D. Juan Francisco Florez Viilamil: para la Ración que este obtiene en la misma cat</t>
  </si>
  <si>
    <t>Fernández Mateos, Juan</t>
  </si>
  <si>
    <t>Juan Fernández Mateos</t>
  </si>
  <si>
    <t>vacante por promoción de D. Martin Leonardo de la Varga á Canónigo de la metropolitana de Burgos, á D. Juan Fernandez Mateos, Cura de S. Pedro de Carmona con la precisa personal residencia que tiene anexa ; y para otro servidero de Ragama, en la diócesis de Ávila; vacante por ascenso de D.NL colas Sánch</t>
  </si>
  <si>
    <t>Fernández Nieto, Pedro</t>
  </si>
  <si>
    <t>Pedro Fernández Nieto</t>
  </si>
  <si>
    <t>ales por el término de 2 meses , contados desde el dia de este aviso, remitiéndolos á su Secretario D. Pedro Fernandez Nieto. Procedente del'registro de plata que desde Veracruz conduxo la fragata particular, nombrada Sta. Cecilia, que entró en el puerto de Santander en Noviembre del año pasado, se hall</t>
  </si>
  <si>
    <t>Fernández Villegas, Manuel</t>
  </si>
  <si>
    <t>Manuel Fernández Villegas</t>
  </si>
  <si>
    <t>nsiderables sumas que generosamente ha ofrecido el Sr. Director fundador Dr. D. Manuel Fernandez Villegas, Canónigo de esta santa iglesia y Director auxiliar del Real hospicio de Madrid, habiendo sido de ellas la de 100 ducados que ha destinado á los premios referidos.para,</t>
  </si>
  <si>
    <t>Fernández, Antonio</t>
  </si>
  <si>
    <t>Antonio Fernández</t>
  </si>
  <si>
    <t>ra á los Cadetes D. Pedro Fierra y D. Joseph de Montes: á Teniente en ei de Mallorca al Subteniente D. Antonio Fernandez; y á Subteniente de bandera en el segundo batallón de Voluntarios de Aragón al Sargento primero D. Francisco Escalada. Por el Ministerio de Gracia y Justicia se ha comunicado al C</t>
  </si>
  <si>
    <t>ado. Quien quisiere hacer postura á todas ó qualquiera de ellas acuda á la escribanía del número de D. Antonio Fernandez en el término de 30 dias, contados desde i.° del corriente. ^ . Erudición española, y noticia de los hombres ilustres de España, ciencias y artes en que floreciéron: escrita en latí</t>
  </si>
  <si>
    <t>hacer mejora á dicha postura , acuda ante el referido. Sr. Teniente por la escribanía del número de D. Antonio Fernandez. . ' Quien quisiere hacer postura en pública subasta a la obra que se ñjt de executar en la casa huerta, cercada de tapia, sita en el lugar de Carabanchc! de Abaxo, perteneciente</t>
  </si>
  <si>
    <t>les, jr -está tasada en 63,978 rs. Quien quisiere hacer postura acuda a la escribanía dad número de D. Antonio Fernandez en eL término de 30 días, contados desde 2*4 dl¿ Setiembre próximo pasado. E1 Sr. D. TorquatOo Antonio Collado, Teniente Corregidor de esta villa, ha señalado el dia 1 1 del vconien</t>
  </si>
  <si>
    <t>dos desde esta fecha, concurran ante los patronos y Secretario, Escribano del‘número de esta villa, D. Antonio Fernandez, por sí ó por medio de sus apoderados, con los competentes documentos á solicitar nombramiento de dicha capellanía. Conversaciones de un padre con sus hijos sobre la historia natu</t>
  </si>
  <si>
    <t>o. Quien quisiere hacer mejora acuda ante, el referido Sr. Teniente por la escribanía del numero de D. Antonio Fernandez. - • .* Á » *• .W ; i.-'** - J &lt; K • «• - ...............' ■ ‘ -• *</t>
  </si>
  <si>
    <t>Fernández, Antonio Joseph</t>
  </si>
  <si>
    <t>Antonio Joseph Fernández</t>
  </si>
  <si>
    <t>ujano titular de esta ciudad, y primer ayudante de cirujano mayor honorario de los Reales exércitos D. Antonio Joseph Fernandez, deseaba ardientemente introducir en el pais esta práctica saludable: hizo venir á este fin de Madrid el fluido; pero el temor, oponiéndose á que se hiciese este gran beneficio ,</t>
  </si>
  <si>
    <t>Fernández, Benito</t>
  </si>
  <si>
    <t>Benito Fernández</t>
  </si>
  <si>
    <t>ía Sierra, de dicha provincia, obispado de Calahorra, María Ganuza, mu-’ ger de Benito Fernandez , murió el 25 de Diciembre último de una enfermedad inflamatoria. Luego que espiró procedió á ejecutar la operación cesárea Julián Tobar, profesor de cirugía en la villa de Bidones, de: 1</t>
  </si>
  <si>
    <t>Fernández, Bernardo</t>
  </si>
  <si>
    <t>Bernardo Fernández</t>
  </si>
  <si>
    <t>con grado de Capitán, D. Joseph Corral; y.Subtenencia de-bandera al Sargento primero de granaderos D. Bernardo Fernandez: en el de Gua— dalaxara Compañías ai Teniente de granaderos del mismo cuerpo D. Manuel Piferrer, y al Ayudante del provincial de Guadix D. Tomas Rivadeneyra, ambos graduados de Ca</t>
  </si>
  <si>
    <t>Fernández, Esteban</t>
  </si>
  <si>
    <t>Esteban Fernández</t>
  </si>
  <si>
    <t>e Power, de granaderos, D. Juan Viñals, D. Luis de Lara, D. Joseph Salazar, D. Joseph de la Espada, D. Esteban Fernandez y D. Juan Dávila; á Tenientes de granaderos á los de fusileros D. Joaquín Goyena y D. Bartolomé Lison ; á Tenientes á los Subtenientes D. Pedro Bofarrull y D. Sebastian de Arroyo , de</t>
  </si>
  <si>
    <t>Fernández, Francisco</t>
  </si>
  <si>
    <t>Francisco Fernández</t>
  </si>
  <si>
    <t>e la misma Audiencia de la Coruña. Para las plazas del Crimen de ella á D. Lucas Iliscio Fernandez, D. Francisco Fernandez dej Pino y D. Francisco Martínez de Galinsoga.” ,,Para la Fiscalía de Ja Audiencia de Canárias , vacante por separación de D. Joseph María Zuaznavar, nombro á D. Juan Ramón Oses: par</t>
  </si>
  <si>
    <t>treras y D. Rafael del Canto; y en el batallón de Voluntarios de Campomayor Tenencia ai Subteniente D. Francisco Fernandez. También se ha servido promover el Rey en el regimiento de infantería de Aragón á Capitán al Teniente de granaderos, graduado de Capitán, D. Francisco Gutiérrez. &gt; ' En el Real cu</t>
  </si>
  <si>
    <t>Fernández, Joseph</t>
  </si>
  <si>
    <t>Joseph Fernández</t>
  </si>
  <si>
    <t>para otro Beneficio de S. Antonio de Padua de la parroquial de Castelldasens, diócesis de Lérida, á D. Joseph Fernandez; y para otro de la parroquia de S. Juan de la ciudad de Zaragoza á D. Joseph Enjuanes. El Rey ha promovido á Capitanes segundos dei Real cuerpo de Ingenieros del exército á los Te</t>
  </si>
  <si>
    <t>milicias de Xerez D. Mariano Velez: en el de Mallorca á Capitanes al Teniente,graduado de Capitán, D. Joseph Fernandez , y ai Ayudante , graduado de Teniente Coronel, D. Manuel Gómez de la Serna; á Tenientes á los Subtenientes de granaderos D. Joseph María Albelda y D. Juan Nicolás de la Fuente, y</t>
  </si>
  <si>
    <t>señalado el.dia 16 del presente, á la hora de las 11 de su mañana, en la escribanía de provincia de D. Joseph Fernandez .de Uceda, el remate de una casa, situada en la calle de las Minas alta, número 15 , manz. 472 , tasada en eí año de 1795 en 29,890 rs.zz Asimismo dicho jSr. Alcalde ha señalado p</t>
  </si>
  <si>
    <t>Fernández, Juan</t>
  </si>
  <si>
    <t>Juan Fernández</t>
  </si>
  <si>
    <t>bispado: para un Beneficio de la parroquia de Albaygar, diócesis de Pamplona, vacante por muerte de D. Juan Fernandez , á D. Ramón Labeaga, Catedrático de latinidad del Seminario Con</t>
  </si>
  <si>
    <t>Fernández, Juan Manuel</t>
  </si>
  <si>
    <t>Juan Manuel Fernández</t>
  </si>
  <si>
    <t>Folguera. Condescendiendo S. M. con la súplica que le ha hecho el Cura dei lügar de Pinar Negrillo D. Juan Manuel Fernandez.de Reyero, ha venido en admitirle la renuncia de la Canongía de ía catedral de Segó vía para que le tenia S. M. nombrado: y en atención á su avanzada edad, y á lo bien que ha dese</t>
  </si>
  <si>
    <t>Fernández, Matías</t>
  </si>
  <si>
    <t>Matías Fernández</t>
  </si>
  <si>
    <t>por promoción de Don Antonio Vicente Henriquez á la Canongía de Arcipreste de la misma colegial, á D. Matías Fernandez. No habiendo tenido efecto el nombramiento hecho por S. M. por decreto de 26 de Junio último en D. Francisco Xavier Mazuelo para una Media-Radon de la catedral de Córdoba, vacante</t>
  </si>
  <si>
    <t>Fernández, Pedro</t>
  </si>
  <si>
    <t>Pedro Fernández</t>
  </si>
  <si>
    <t>do conceder en los regimientos de infantería de la Revna y Murcia Subtenencias de bandera al Cadete D. Pedro Fernandez y al Sargento primero D. Joseph Pedrera; y en el de Toledo Ayudantía al Teniente, graduado de Capitán, D. Manuel de Goya. También se ha servido S. M. promover en el regimiento de in</t>
  </si>
  <si>
    <t>Fernández, Ramón</t>
  </si>
  <si>
    <t>Ramón Fernández</t>
  </si>
  <si>
    <t>r. Jeannet des Longroís, Doctor Regente de la facultad médica de París: traducido al castellano por D. Ramón Fernandez, profesor de cirugía. Se hallará en la librería de Castillo, frente á S. Felipe el Real. El Ayo de la juventud christiana de ambos sexos, á quien instruye sobre practicar dignamen</t>
  </si>
  <si>
    <t>arretas. ; ' ^ ^ Principios de cir‘ii‘gía,-:así en. la pFácticáy como enla teórica : compuestos por D. Ramón Fernandez para el examen de los que se dedican á’ esta profesión y desean aprovechar en ella: segunda edición, corregida por su autor. Se hallará en la librería de Barco , carrera de S. Ger</t>
  </si>
  <si>
    <t>de Blandengues de la frontera de Montevideo se ha servido el Rey promover á Alféreces á los Cadetes D. Ramón Fernandez y D. Joseph Manuel de Victoria, y al Sargento D. Joseph Casal. Para el empleo de Ayudante mayor del esquadron de dragones de América, fixo de la Havana, se ha servido nombrar el Rey a</t>
  </si>
  <si>
    <t>ción: por Mr. Jeannet des Longrois, Doctor Regente de la facultad médica de París: traduí i da. por D. Ramón Fernandez. Se hallará en la librería de Castillo, frente á las gradas de S. Felipe. Tratado sobre el modo de criar sanos á los niños, fundado en los principios de la medicina y de la física</t>
  </si>
  <si>
    <t>Fernando Gabriel</t>
  </si>
  <si>
    <t>ña. S. M. se ha servido promover en el Real cuerpo de Ingenieros del exército á. Teniente Coronel á D. Fernando Gabriel, Sargento mayor; á este empleo á D. Juan Zapatero, D. Ramón de la Rocha y D. Juan Pi-¡ rez, Capitanes primeros; a esta clase á D. Manuel de Hita, D. Luis Ve-, yan y D. Luis Laviña</t>
  </si>
  <si>
    <t>Fernando, Archiduque</t>
  </si>
  <si>
    <t>Archiduque Fernando</t>
  </si>
  <si>
    <t>anifestado que no podía mirar el art. 5.0 del tratado de Luneville en lo concerniente á S. A. R. el Archiduque Fernando, Gran Duque deToscana, como suficientemente cumplido por las disposiciones del pian de indemnizaciones acordado por la diputación del Imperio ; y como el primer Cónsul de la Repúb</t>
  </si>
  <si>
    <t>odrán construirse nuevas fortificaciones en el territorio del obispado de Eichstadt por S. A. R. el Archiduque Fernando ó sus herederos. ó.° El primer Cónsul de la República francesa, en unión con S. M. I. de todas las Rusias, procurará que S. A. R. el Archiduque Fernando y sus herederos obtengan l</t>
  </si>
  <si>
    <t>eñor consisten en reloxes de péndula, espejos, diversas especies de armas &amp;c. Viena 4 de Abril. E 1 Archiduque Fernando, ántes Gran Duque de Toscana, ha salido de esta capital para Salzburgo, que lo es de sus nuevos estados, en cuya</t>
  </si>
  <si>
    <t>ropas en aquel pais. Baswan-Oglow dicen que ha respondido de un modo poco satisfactorio. , . , , El Archiduque Fernando, Elector de Salzburgo, ha marchado a su nueva residencia. S. A. E. divide su confianza entre Mr. Manfredmi y el Marques de Cupponi, que ha hecho venir a Viena, y le ha condecorado</t>
  </si>
  <si>
    <t>ndados por los Generales Príncipe de Schwarzenberg, Príncipe de Lichtenstein, Conde de Meerfeldt, y Archiduque Fernando., ; .s A \ Mnnü h gr. de Agosto. \ ■ C A.-:,! , orno uno de los, principios que mas realzan, el. gobierno de S. A. E. es la mas ilustrada y cuerda desconfianza:de ,los informes de</t>
  </si>
  <si>
    <t>la órden Teutónica , en el qual se le confirió á S. A. R. el Archiduque Maximiliano,'hijo menor del Archiduque Fernando , el bayliage de Franconia, cuya capital es Ellingen. Este bayliage renta anualmente 50® florines. Se asegura que se ha destinado el,gobierno de Bohemia para el Archiduque Juan, y</t>
  </si>
  <si>
    <t>Fernando, Duque</t>
  </si>
  <si>
    <t>Duque Fernando</t>
  </si>
  <si>
    <t>esultado de las negociaciones relativas al aumento de la parte de indemnización de S. A. R. el Gran Duque Fernando, y para Ja garantía de los derechos de propiedad de soberanía. Al presente tiene la satisfacción de dirigir adjunto á la diputación extraordinaria un exemplar oficial del convenio</t>
  </si>
  <si>
    <t>Fernando, Príncipe</t>
  </si>
  <si>
    <t>Príncipe Fernando</t>
  </si>
  <si>
    <t>, y todavía se mantiene á una altura prodigiosa. Vienta jj de Febrero. ÍL M. I. ha nombrado Ayo del Príncipe Fernando, su hijo mayor y sucesor, á Antonio Simón , Secretario de la corte y censor de todas las obras que se publican en Viena. Los hombres ilustrados han celebrado que tan importante el</t>
  </si>
  <si>
    <t>Ferrer y Esteban, Juan</t>
  </si>
  <si>
    <t>Juan Ferrer y Esteban</t>
  </si>
  <si>
    <t>S. Felipe, diócesis de Valencia, á D. Pedro Escoin: para otra de la de Tremp, diócesis de Urgel, á D. Juan Ferrer y Esteban: para un Beneficio simple eclesiástico de residencia, baxo la invocación de S. Rufo y Sta. María, de la parroquial de la villa de Prats del Rey, diócesis de Vique, á D. Pedro Aliv</t>
  </si>
  <si>
    <t>Ferrer, Alexandro</t>
  </si>
  <si>
    <t>Alexandro Ferrer</t>
  </si>
  <si>
    <t>de ía misma, á D. Joseph Jover: para otra Canongía de la de Huesca, vacanre por fallecimiento de D. Alexandro Ferrer, á D. Pedro Espinosa s para otra de la de Barbastro, vacante por muerte de D. Felipe de Broto, á D. Manuel de Bardaxi: para la Ración de la santa iglesia de Toledo, vacante por pr</t>
  </si>
  <si>
    <t>Ferrer, Jorge</t>
  </si>
  <si>
    <t>Jorge Ferrer</t>
  </si>
  <si>
    <t>a la de Altnédovar del Campo&gt; también de primera dase, en el territorio de la orden de Calatrava, á D. Jorge Ferrer. Por el Ministerio de Hacienda se ha comunicado, con fecha de 8 de este mes, la Real orden siguiente : „Para foment'o de las fabricas de sal de saturno establecidas y que se estab</t>
  </si>
  <si>
    <t>Ferrer, Joseph</t>
  </si>
  <si>
    <t>Joseph Ferrer</t>
  </si>
  <si>
    <t>la catedral de Ibiza, vavante por promoción de D. Joseph Bufli á una Ración de la misma catedral, á D. Joseph Ferrer; y para la Obrería Oficio regular del Real monasterio de S. Pedro de Roda, de la congregación benedictina claustral, en Cataluña, á D. Fr. Ramón Maseli y Míisocos, Habiendo hecho</t>
  </si>
  <si>
    <t>Ferrer, Juan</t>
  </si>
  <si>
    <t>Juan Ferrer</t>
  </si>
  <si>
    <t>EDITERRANEO. Por aviso que ha dado en 12 de Diciembre del año último el Capitán del puerto de Mahon D. Juan Ferrer, se sabe que acababa de llegar allí en el bergantín raguseo el Africano, procedente de Alexandría de Egipto, la tripulación del bergantín de aquella matrícula, denominado el Cárme</t>
  </si>
  <si>
    <t>Ferreripara, Joseph</t>
  </si>
  <si>
    <t>Joseph Ferreripara</t>
  </si>
  <si>
    <t>e Mallorca ,á D. Mariano Roseiló: para otra Ganongía de la catedral de.Roda, diócesis de Lérida , á D. Joseph Ferreripara úna Ración de la parroquiat .de Vervegal, en la misma diócesis, á D. Nicolás .de Urquiza; y para un Beneficio eclesiástico residencial, fundado en la catedral de Mallorca j unido</t>
  </si>
  <si>
    <t>Ferreyra, Joseph Joaquín</t>
  </si>
  <si>
    <t>Joseph Joaquín Ferreyra</t>
  </si>
  <si>
    <t>an al Teniente D. Juan Steinhauser; y á Capitán segundo en el de Courten al Teniente de granaderos. D. Joseph Joaquin Ferreyra. S. M. se ha servido nombrar para el Corregimiento de letras de la ciudad de Fraga á D. Ignacio Luzan: para el de la villa de Onteniente á D. Gerónimo Servent: para la Alcaidía ma</t>
  </si>
  <si>
    <t>Feruando Núñez de Robres</t>
  </si>
  <si>
    <t>Gerónimo Collado. S. M. ha conferido el empleo de Coronel del regimiento provincial de Chinchilla á D. Feruando Nuñez de Robres, Capitán de la primera compañía del mismo cuerpo; y ha nombrado Ayudantes, del de Compostela al Capitán D. Antonio María Perchet, primer Teniente del de infantería de Jaén, y de l</t>
  </si>
  <si>
    <t>Fesch</t>
  </si>
  <si>
    <t>los mares de Sicilia, se ha sublevado. León ji de Diciembre. &lt;n-la madrugada del dia 11 llegó aquí Mr. Fesch, Arzobispo de es</t>
  </si>
  <si>
    <t>Ffoguer, Ángel</t>
  </si>
  <si>
    <t>Ángel Ffoguer</t>
  </si>
  <si>
    <t>Teniente, graduado de Capitán, D. Blas de Eournas, ai Sargento primero D. Bernardo Juan y al Cadete D. Angel Ffoguer. £1 Rey se ha servido promover á Ayudante del regimiento de cazado* res de Pavía á D. Miguel Ruiz, Teniente del propio cuerpo. En América. El Rey se ha servido nombrar para una Ca</t>
  </si>
  <si>
    <t>Fidalgole, Joaquín Francisco</t>
  </si>
  <si>
    <t>Joaquín Francisco Fidalgole</t>
  </si>
  <si>
    <t>ados dos buques menores, al cargo del Alférez de Fragata D. Andrés de Oyarvide, Al Capitán de Navio D. Joaquín Francisco Fidalgole está prevenido que á su regreso de Cartagena de Indias busque y sitúe exactamente los baxos que hacen cuidadosa la navegación desde dicho puerto á la isla de Cuba. En la parte S de</t>
  </si>
  <si>
    <t>Fidel de Reding</t>
  </si>
  <si>
    <t>uan Waltispiihl; á Capitán segundo al Teniente de granaderos D, Manuel Gerig; ¿Ayudante al Teniente D. Fidel de Reding, y á Tenientes á los Subtenientes D. Joseph Kayser, de granaderos, y D. Baltasar Zeberg; y á Subteniente en el de Cour^en al Cadete D. Mauricio Gard. En el Real cuerpo de Artiller</t>
  </si>
  <si>
    <t>Fierra, Pedro</t>
  </si>
  <si>
    <t>Pedro Fierra</t>
  </si>
  <si>
    <t>ila. También ha promovido S. en el de infantería de Córdoba á Subtenientes de bandera á los Cadetes D. Pedro Fierra y D. Joseph de Montes: á Teniente en ei de Mallorca al Subteniente D. Antonio Fernandez; y á Subteniente de bandera en el segundo batallón de Voluntarios de Aragón al Sargento primero</t>
  </si>
  <si>
    <t>Figueras, Francisco</t>
  </si>
  <si>
    <t>Francisco Figueras</t>
  </si>
  <si>
    <t>, que lo éran del regimiento de infantería de España y del provincial de Alcázar de S. Juan, como á D. Francisco Figueras, Cadete del de Navarra. En América. El Rey se ha servido nombrar para el Deanato de la. catedral de Cuenca, vacante por ascenso de D. Francisco Xavier de la Fita y Camón al Obispa</t>
  </si>
  <si>
    <t>Figueras, Joseph María</t>
  </si>
  <si>
    <t>Joseph María Figueras</t>
  </si>
  <si>
    <t>tes, los caballeros jóvenes D. Antonio Ladoux y Bonal, cursante de filosofía de esta universidad, y D. Joseph María Figueras, Cadete del regimiento de Guadalaxara. Estuvieron amenizados estos exercicios con buenos intermedios de la expresada música, y presididos por los retratos de nuestros augustos Sob</t>
  </si>
  <si>
    <t>Figuerola, Juan</t>
  </si>
  <si>
    <t>Juan Figuerola</t>
  </si>
  <si>
    <t>jo de Juan y de Paula Parralé, na»') tural de la Selva, dependiente del l 3.a.. Juan Figuerola. Corregimiento de Tarragona. Mu- j 180. L rió eñ 21 de Julio de 1801...... ...... 3 Hijo de Estéban y de Francisca Ar-'j geles, natural de Serdenés, Corre- i 3/.. Benito Palomé. 171. gimiento de Gerona en Cataluña, f Mu</t>
  </si>
  <si>
    <t>Filomeno de la Torre</t>
  </si>
  <si>
    <t>aldo T.ovar: en el de Valencia el empleo de Ayudante ai Teniente de granaderos, graduado deCapitan, D. Filomeno de la Torre : en el de! Granada Tenencia al Subteniente de granaderos D. Joseph Beza: en el de Asninas Tenencia al Subteniente de granaderos f&gt;. Miguel Buergo: en el de Extremadura Subtenenci</t>
  </si>
  <si>
    <t>Fiorentin Martínez</t>
  </si>
  <si>
    <t>segundos Subtenientes ai Sargento primero D. Antonio Malavia, y al Cadete, graduado de Subteniente, D. Fiorentin Martínez: en el de granaderos Voluntarios de Estado á Sargento mayor al Capiran del de América D. Pedro López Hermoso : en el segundo batallón de Voluntarios de Cataluña á Capiran segundo</t>
  </si>
  <si>
    <t>Fitzgerald, Carlos</t>
  </si>
  <si>
    <t>Carlos Fitzgerald</t>
  </si>
  <si>
    <t>az, D. Antonio Moya, D. Antonio Luxan, D. Luis Bertrán, D. Nicolás Darcourt, D. Francisco de Corts, D. Cárlos Fitzgerald, D. Juan Brikdale, D. Juan O-Donovan, D. Juan Ponce de León , D. Antonio Lechuga y D. Joseph O-Donell: las de los de 1a Reyna, Corona, Guadalaxara, España, León, Cantabria, Prince</t>
  </si>
  <si>
    <t>a Segura. S. M. se ha servido promover á Teniente Coronel del regimiento de infantería de Ultonia á D. Carlos Fitzgerald, Comandante del tercer batallón del de Irlanda: á Teniente en el de Cantabria al Subteniente de ranaderos del propio cuerpo D. Agustín López: en el de Zaragoza al f ubteniente de</t>
  </si>
  <si>
    <t>Fitzwüliam, Conde</t>
  </si>
  <si>
    <t>Conde Fitzwüliam</t>
  </si>
  <si>
    <t>ntra 34. En la junta del 6 de la Cámara alra se volvió á tratar de la conducta de los Ministros. El Conde Fitzwüliam recapituló los diversos motivos de queja que habia contra ellos, y concluyó que los Ministros no comunicáron á la Cámara quando debieron el sistema de violencia y de agresión del</t>
  </si>
  <si>
    <t>Fjc</t>
  </si>
  <si>
    <t>do á esta obra. Tomo de ia^segúnd^edición de ios discursos predicables ó las homilías del IJmo. Sr. D. Fjc. Gerónimo Bautista de Larxtza , del orden dé Predicadores , Obis/po de Barbas tro y de Albarracin ¿ dispuestas por orden de materias,y acomodadas en la' mejor forriia para uso de,</t>
  </si>
  <si>
    <t>Flangini, Cardenal</t>
  </si>
  <si>
    <t>Cardenal Flangini</t>
  </si>
  <si>
    <t>el estado de su salud no le permitió hallarse en un parage cerrado y entre un numeroso concurso. El Cardenal Flangini, Patriarca de "Venecia , asistido de varios Obispos y Prelados, administró el santo bautismo. ÍTI Conde de Bissingen, Comisario de S. M. I. en los nuevos estados de Italia, ha lle</t>
  </si>
  <si>
    <t>Fleuret</t>
  </si>
  <si>
    <t>de piedra artificial cuestan el tanto y aun menos que los de madera común. El. ciud. Fleuret presentó al Ministro una. obra, manuscrita,</t>
  </si>
  <si>
    <t>Florencio Amaya y Dóh Juan Casteras</t>
  </si>
  <si>
    <t>a al Ayudante, graduado dé Capitán, D. Francisco Ibarra;: en el de España Compañías á los Ayudantes D. Florencio Amaya y Dóh Juan Casteras; Ayudantías á los primeros Tenientes reformados D. Joseph Correa y D. Juan Arenas: en el de Algarve Compañía al Ayudante, graduado de Capitán, D. Tomas Falcó; y Ayudantía al Tenie</t>
  </si>
  <si>
    <t>Florencio Durel, Juan</t>
  </si>
  <si>
    <t>Juan Florencio Durel</t>
  </si>
  <si>
    <t>895 Aufcteniemte -de bandera D. Juan Castañedo, y á la que este dexa aL Cadete D. Juan Florencio Durel. El /bergantín correo de la Real armada nombrado S. Antonio, zarpó de lo« -puertos de Veracruz y la Havana en 26 de Julio y ió de Agosto últimos, y fondeó en el de la Coruña el 5</t>
  </si>
  <si>
    <t>Florencio Palacios</t>
  </si>
  <si>
    <t>nte, graduado de Capitán, D.? Ignacio Aldudo; y Subtenencias de bandera en el de la Reyna al Cadete D. Florencio Palacios; en el de Zamora al Sargento primero D. Manuel Santos; en el de •León al Cadete D. Francisco Arguelléis, y en el de la Princesa al Sargento primero D. Christóbal Docioy al Cadete</t>
  </si>
  <si>
    <t>Florez Viilamil, Juan Francisco</t>
  </si>
  <si>
    <t>Juan Francisco Florez Viilamil</t>
  </si>
  <si>
    <t>do: para otra de la catedral de Falencia, vacante por muerte de D. Joseph Diez Quijada y Ovejero, á D. Juan Francisco Florez Viilamil: para la Ración que este obtiene en la misma catedral:, y resultará vacante, á D. Antonio Francisco del Peral Duque: para una Ración de la catedral de Avila, vacante -por promoció</t>
  </si>
  <si>
    <t>Florez, Juan Antonio</t>
  </si>
  <si>
    <t>Juan Antonio Florez</t>
  </si>
  <si>
    <t>de S. Vicente de Galdones, en el concejo de Gijon, diócesis-de Oviedo, vacante por fallecimiento de D. Juan Antonio Florez, a D. Salvador González Vülamii, Teniente Cura de la parroquial de S. Jorge de dieres, en aquel obispado: para otro Beneficio simple del lugar de Villaverde, y el Arciprestazgo de</t>
  </si>
  <si>
    <t>Foderé, Francisco Manuel</t>
  </si>
  <si>
    <t>Francisco Manuel Foderé</t>
  </si>
  <si>
    <t>ivo para siempre este ramo de comercio. Errores médico-legales cometidos por el ciud. Francisco Manuel Foderé en sil obra intitulada: las Leyes ilustradas por las ciencias físicas, ó tratado de Medicina legal y de higiene pública,y defectos notables de la traducción. Los</t>
  </si>
  <si>
    <t>compañía, y en Zaragoza en la de Monge. Errores médico-legales cometidos por el ciud. Francisco Manuel Foderé en su obra las Leyes Ilustradas por las ciencias físicas , ó tratado de medicina legal y de higiene publica Sec. : por D. Htginio Antonio Lorente: quadenios 4.0</t>
  </si>
  <si>
    <t>Fogasa, Santiago</t>
  </si>
  <si>
    <t>Santiago Fogasa</t>
  </si>
  <si>
    <t>ioo6 z©; á Capitán segundó al Teniente D, Santiago Fogasa, y á Teniente a! Subteniente D. Manuel de la Puente. £n América. El Rey se ha servido nombrar para el Obispado de León de Nicaragua, vacante por fallecimiento de D. Joseph Antonio</t>
  </si>
  <si>
    <t>Folguera, Mateo</t>
  </si>
  <si>
    <t>Mateo Folguera</t>
  </si>
  <si>
    <t>gía de la colegial de Guisona, diócesis de Urgel, vacante por fallecimiento de D. Joseph Capellá, á D. Mateo Folguera. Condescendiendo S. M. con la súplica que le ha hecho el Cura dei lügar de Pinar Negrillo D. Juan Manuel Fernandez.de Reyero, ha venido en admitirle la renuncia de la Canongía de</t>
  </si>
  <si>
    <t>igdevall: para otro de la parroquia de Agramunt, en la diócesis de; Urgel, vacante por promoción de D. Mateo Folguera á una Canongía de la colegiata de Guisona, á D. Juan Jover; y para el Beneficio de sangre de la catedral de Vique, baxo la invocación de S. Lucas y S. Blas, vacante por fallecimie</t>
  </si>
  <si>
    <t>Folkstone, Lord</t>
  </si>
  <si>
    <t>Lord Folkstone</t>
  </si>
  <si>
    <t>ió.en esta junta.—En la del 14 presentó Mr. Alexander el informe de la junta de vías y medios, y el Lord Folkstone 'Comenzó la discusión desaprobando altamente :la conducta de los Ministros, primero en general, y después contrayéndose á los impuestos de la guerra, que no solo agravaban mucho,</t>
  </si>
  <si>
    <t>Folsktone, Lord</t>
  </si>
  <si>
    <t>Lord Folsktone</t>
  </si>
  <si>
    <t>se mantuvo antes de ayer á 65 y f, y ayer se cerró en 66. El día 28 en la Cámara de los Comunes el Lord Folsktone dixo, que el día antes habia manifestado su propósito de pedir copia de todas las órdenes comunicadas por los Ministros de S. M. al Cabo de Buena-Esperanza desde que se hizo la pa</t>
  </si>
  <si>
    <t>FonciLlas, Buenaventura</t>
  </si>
  <si>
    <t>Buenaventura FonciLlas</t>
  </si>
  <si>
    <t>ción de la parroquial del lugar de Lagunarota, dió* cesis de, Lérida , vacante por fallecimiento de D. Buenaventura FonciLlas^ :á D. Savino de Ocaña. En el regimiento Suizo de Schmid se ha servido el Rey conceder Iá -Tenencia Coronela al Sargento mayor del mismo cuerpo D. Felipe SchwaJler: eiv el de Ruti</t>
  </si>
  <si>
    <t>Fontanes</t>
  </si>
  <si>
    <t>exteriores al Embaxador bri¡tinico; y el dia 16., formado en junta secreta, el ciud. Fontanes habló en estos términos: ,,Ya habéis oido &gt;en vuestra última junta el mensage del gobierno; habéis notado su conducta franca, leal, ¡muy opuesta á la de la Ing</t>
  </si>
  <si>
    <t>ta capital , después de haber visitado las costas. La comisión compuesta de los ciudadanos Fontanes, Champagne y Domairon, para determinar los libros clásicos que convendría adoptar para la enseñanza de la lengua latina y de las humanidades, ha recibido orden</t>
  </si>
  <si>
    <t>Fontanes, Gregorio</t>
  </si>
  <si>
    <t>Gregorio Fontanes</t>
  </si>
  <si>
    <t>ión de la catedral de la Puebla de los Angeles, vacante por muerte de Don Ignacio Sánchez Ibañez, á D. Gregorio Fontanes, Cura de la villa de Xalapa, en dicha diócesis. También ha promovido S. M. en el regimiento de infantería de Buenos-Ayres á Coronel al Teniente Coronel del mismo cuerpo D. Félix I</t>
  </si>
  <si>
    <t>Fontecha, Santiago</t>
  </si>
  <si>
    <t>Santiago Fontecha</t>
  </si>
  <si>
    <t>ía de la colegial de Valpue.sta, diócesis de Burgos, vacante por muerte de D. Manuel de Ileredia, á D. Santiago Fontecha, Racionero de la misma colegial: para una Ración de la catedral de Málaga, vacante por promoción de D. Salvador Casamayor á una Canongía de la misma catedral, á D. Francisco Panun</t>
  </si>
  <si>
    <t>Fontenay</t>
  </si>
  <si>
    <t>* tes. Firmado: Bonaparte.” París go de Enero. E 1 primer Cónsul ha dirigido al ciud. Fontenay, Corregidor de Rúan, la carta siguiente: ,,En nombre del pueblo frajices, Bonaparte primer Cónsuly al ciud. Fontenay, Corregidor de la ciudad de Rúan. Ciud. Fo</t>
  </si>
  <si>
    <t>Forcallo, Miguel</t>
  </si>
  <si>
    <t>Miguel Forcallo</t>
  </si>
  <si>
    <t>Rey promover á Capitán segundo al Teniente D. Antonio Mendinueta; y á Tenientes á los Subtenientes D. Miguel Forcallo y D. Fernando de Navia. En el regimiento Real de Zapadores y Minadores ha nombrado S. M. para Sargentos mayores á los de brigada del Real cuerpo de Ingenieros D. Juan Zapatero y D. Ra</t>
  </si>
  <si>
    <t>Forrin</t>
  </si>
  <si>
    <t>tos ha publicado un informe sobre un peso de cruz, inventado y ejecutado por el ciudadano Forrin, con el objeto de que sirva de instrucción á los constructores de pesos, y</t>
  </si>
  <si>
    <t>Forstáll, Félix</t>
  </si>
  <si>
    <t>Félix Forstáll</t>
  </si>
  <si>
    <t>D Cirilo Demorant, los Cadetes D. Francisco M'óréjori , D. Francisco Duvreüiil, Don Juan Domínguez, D. Félix Forstáll , D. Pedro Reggio y1 D. Cátlos Rcggio, y los Sargentos primeros D. Matías Cervera, de granaderos, P Francisco Cañedo y D. Joseph Bernardo , y á Subtenientes de bandera á los Cadet</t>
  </si>
  <si>
    <t>Fortun, Joseph</t>
  </si>
  <si>
    <t>Joseph Fortun</t>
  </si>
  <si>
    <t>er ¿! , y se siguen entre Nataniel Williams , Capitán de í? escura americana , nombrada Martin , y D, Joseph Fortun y otros armadores del corsario español Mira. Sra. de Africa, sobre presa de aquel buque: y se previene á dichos herederos que pasado dicho término sin haber comparecido les parará e</t>
  </si>
  <si>
    <t>Fortunato Cahillet</t>
  </si>
  <si>
    <t>o : en el de Navarra Subtenencia de bandera al Cadete del de Reales Guardias de infantería Española D. Fortunato Cahillet : en el de Ultonia Ayudantía al Teniente de granaderos, con grado de Capitán, D: Henrique O Neille: en el de las Ordenes Militares Subtenencia de bandera al Subteniente dei de Amé</t>
  </si>
  <si>
    <t>Foruer, Joaquín</t>
  </si>
  <si>
    <t>Joaquín Foruer</t>
  </si>
  <si>
    <t>tes á los Alféreces D. Francisco Car- cer, D. Juan Manuel Marín, D. Manuel Garayo, D. Joseph Arenas,Don Joaquín Foruer , D. Pedro Alcántara Ruiz y D. Vicente Asco ; á Alféreces á los Portaguiones D. Juan Rondeau , D. Andrés Ordoñez y D. Fran- » cisco de Paula Castellanos , al Cadete D. Joseph Marí</t>
  </si>
  <si>
    <t>Fox</t>
  </si>
  <si>
    <t>hacerlo con vigor y buen éxito, ó determinarnos á perecer en la llama sagrada con gloria y honor.” Mr. Fox tomó la palabra diciendo, que las circunstancias le obligaban á hablar, . sin embargo de que ya era tarde. Dixo algo acerca de las voces que contra él se habían esparcido con moti</t>
  </si>
  <si>
    <t>oca' su atención. Después que el Canciller del Echiquier habló sobre el mensage del Rey, se levantó Mr. Fox y dixo: „Que no se oponía á que se diesen á S. M. las gracias , en la inteligencia de que se había de hacer en términos generales; añadiendo que los Ministros de S. M. debían examin</t>
  </si>
  <si>
    <t>milicias , y recibir en ellas personas que no tengan las calidades que exigen las actas anteriores. Mr. Fox en su último viage á París ha logradó adquirir las mejores ediciones en folio de los autores clásicos romanos , que apenas son conocidas de nuestros libreros de Londres. -p Brusélas</t>
  </si>
  <si>
    <t>r ahora: así que, no abusando mas de su tiempo, hago la propuesta de que dé punto ha4tá el lúnes.’b—Mr. Fox expuso: ,,Que en circunstancias tan críticas convendría que la Cámara íuyiese quanto ántes las noticias de que se habia hablado; y así pedia el</t>
  </si>
  <si>
    <t>Mayo* Ki-ohdwfe la discusión del dia 24. El Lord Hawkesbury entró en algunas explicaciones; y luego Mr. Fox habló de esta manera: ,,Después de tan Jarea discusión sostenida por los miembros de una y otra parte, y después de examinados extensamente sus puntos , tendría reparo en molestar</t>
  </si>
  <si>
    <t>scurso muy enérgico y eloqüente. Mr. Windham expresó su grande indignación al oir ios argumentos de Mr. Fox , y concluyó comparando su conducta á 1.a de un cirujano, que disuadiese á su paciente de sufrir una operación necesaria, hablándole de los dolores que le causaría , siendo este e</t>
  </si>
  <si>
    <t>aumentar y formar en cuerpos las milicias en defensa del Reyno¿ S. M. ha juzgado necesario hacerlo. Mr. Fox dice que tiene que hacer una propuesta á la Cámara sobre la mediación de la Rusia entre este gobierno y la Francia. * 1 ; f El Canciller del Echiquier propone que se lea el discur</t>
  </si>
  <si>
    <t>sejar á S. M. que disminuya en nada sus esfuerzos para seguir la. guerra con vigor y buen éxito.”__ Mr. Fox declaro que estaba satisfecho, y que recogía la proposición que había hecho. En la junta de la Cámara de los Pares el 2 del corriente hizo eiConde Fitz-Wiüiam la propuesta de que se</t>
  </si>
  <si>
    <t>a sido propuesto por eí jioble Secretario de la Guerra , como el mas útil a la seguridad del Reyno. Mr. Fox dixo que no molestaría mucho á la Cámara sobre un asunta que merecía su elitera aprobación: que había ya algunas semanas que no había' concurrido á la Cámara , y que no se avergon</t>
  </si>
  <si>
    <t>que contra este pais: una invasión era la quedos amenazaba, y la que tenían qüe rechazar/’ Continúa Mr. Fox lamentándose de la morosidad de los Ministros, y concluye diciendo: ,,Si recurris á los esfuerzos voluntarios del pueblo, no tengo duda alguna en que experimentareis los mas felices</t>
  </si>
  <si>
    <t>owne hizo una viva pintura de todos los males que el pueblo debía esperar de la libertad francesa__ Mr. Fox habló fuertemente á favor del establecimiento de un consejo de guerra; y con particularidad puso en movimiento todos los recorres de su eloqüencia hablando del Príncipe de Gales y</t>
  </si>
  <si>
    <t>espero, y conmigo toda la nación, que los Ministros declaren por que lo tratan así. Después propuso Mr. Fox ,,que la Cámara hiciese á S. M. una humilde representación, suplicándole que nombrase un consejo militar, compuesto de oficiales generales, y de los demas individuos que tuviese á</t>
  </si>
  <si>
    <t>Fox, General</t>
  </si>
  <si>
    <t>General Fox</t>
  </si>
  <si>
    <t>ticular para sacar de entre las llamas las personas y cosas preciosas. .Londres 4 de Febrero. . E 1 General Fox partirá en breve para tomar el mando en xefe de la'Irlanda , en lugar del General Mendérws.. • En un informe presentado al Parlamento se halla el bud^et de hacienda de la Gran Bre</t>
  </si>
  <si>
    <t>da su comitiva el General Lord Carchare!, que ha ido á suceder en- el marido de aquellas fuerzas al General Fox, que vuelve á Inglaterra. — Entre los arrestos de personas sospechosas se cuentan los de Miguel Quigley /Nicolás btaíFord, 'y un tal Perot. Se había ofrecido un premio de 300 libr</t>
  </si>
  <si>
    <t>Fraifchco A-iitoiifr Ozores de Puga</t>
  </si>
  <si>
    <t>ellos han ganad.© los jugadores 429**60 rfc. En 1 y de Setiembre de-17*5*1 hizo dexaoion de hiedes D. Fraifchco A-iitoiifr Ozores de Puga, Receptor del número de Jos! Reales Consejos, de’chiráñdo suf efectos y acreedores , á los que se'hizo saber ,- y por tfó habei* compadecido', sé üílí emplaza , ó á sus herederos,</t>
  </si>
  <si>
    <t>Fran</t>
  </si>
  <si>
    <t>niente de granaderos al de fusileros D. Gregorio García; a Tenientes de fusileros ¿ios Subtenientes D. Fran*cisco López de Vergara y D. Tomas Alburquerque, y á Subtenientes de bandera á los Cadetes D. Joseph de Céspedes y D. Juan de Dios de Velazquez. ; ....»• -'i-' • Por ei Ministerio</t>
  </si>
  <si>
    <t>Fran, Joseph</t>
  </si>
  <si>
    <t>Joseph Fran</t>
  </si>
  <si>
    <t>ez y D. Pascual Agustín Martínez, y á los de fusileros D. Joseph María Mendez, D. Nicolás de Vedia, D. Joseph Fran</t>
  </si>
  <si>
    <t>Franchini</t>
  </si>
  <si>
    <t>arios é Intérpretes, un médico y un dervis, dependientes de la embaxada----- El ciud. Franchini , Secretario intérprete det'Ministro de Relaciones exteriores, asistió á la audiencia, y le traduxo al primer Cónsul el discurso del Embaxador otomano. El Gene</t>
  </si>
  <si>
    <t>Francis</t>
  </si>
  <si>
    <t>hore propuso que se votasen io® marineros mas para el servicio del Rey por el tiempo de ti meses.__ Mr. Francis renovó con este motivo las antiguas instancias de su partido de que se diesen las noticias que desea sobre el estado de las negociaciones con la Francia. Este vocaL usó de varias</t>
  </si>
  <si>
    <t>e dentro de pocos dias seria tiempo de dará la Cámara; alguna noticia sobre este importante asunto. Mr. Francis apoyó la propuesta del General Gascoygne , y sin embargo la Cámara consintió en que el jueves se tratase de lo relativo á los derechos de importación y exportación. El dia 21 insi</t>
  </si>
  <si>
    <t>Francisca de Mendizabal, Joseph</t>
  </si>
  <si>
    <t>Joseph Francisca de Mendizabal</t>
  </si>
  <si>
    <t>u pérdida á quantos la trataban y conocían. * Don Juan Apudo Muzquiz remitió en '7 del mes'último á D, Joseph Francisca de Mendizabal, vecino de la ciudad de S. Sebastian, 20 vales de 150 pesos, 25 de goo,y 7 de 600,creación de i.° de Enero: números de los de 150 pesos, 223762, 24opií, 242598, 255523 &gt; 279r72» 2</t>
  </si>
  <si>
    <t>Francisca de Paula Antonio María</t>
  </si>
  <si>
    <t>r se vistió la corte de gala en el Real sitio de Aranjuez con motivo del cumpleaños del Sr. Infante D. Francisca de Paula Antonio Mana, hijo tercero del Rey. , -j j j n j i EL Rey se ha servido nombrar para la Dignidad de Dean de la catedral de Granada, vacante por fallecimiento, de D. Francisco Perez Quiñones, á</t>
  </si>
  <si>
    <t>Francisca de Sayús</t>
  </si>
  <si>
    <t>que le interesan , se suplica i quien sepa de él se sirva dar aviso en dicha ciudad de Santander á D. Francisca de Sayús, Tesorero de propios y arbitrios de la misma, ó en Madrid á D. Manuel de Quevedo Bustamante, Secretario de la Subdelegacion d« imprentas y librería» del Reyno, que lo agradecerán.</t>
  </si>
  <si>
    <t>Francisca Ortega, María</t>
  </si>
  <si>
    <t>María Francisca Ortega</t>
  </si>
  <si>
    <t>de este, tres vales de 1 §0 pesos, de i.° de Setiembre, números 184159, 185114 y 195803, el i.° por Doña María Francisca Ortega y los dos últimos por dicho Andreu; y habiéndose extraviado , se suplica al que sepa de ellos los entregue en Barcelona a D. Francisco Xavier Martí, del comercio de</t>
  </si>
  <si>
    <t>Francisco Antonio</t>
  </si>
  <si>
    <t>s : para otra Canongía de la colegial de Cerbatos, diócesis de Burgos, vacante por fallecimiento de D. Francisco Antonio de. Caaipuzano, á D. Juan Gómez de Robles: para una Ración de la catedral de Palencia, vacante por promoción de D. Anselmo de Soto á una Canongía de la misma catedral* á D. Manuel Ma</t>
  </si>
  <si>
    <t>Francisco Carlos Joseph, Duque</t>
  </si>
  <si>
    <t>Duque Francisco Carlos Joseph</t>
  </si>
  <si>
    <t>ales gobiernos de Europa con unas cartas latinas del Emperador, participando el nacimiento del Gran Duque Francisco Carlos Joseph. Las que se dirigen al primer Cónsul de Francia llevan esta inscripción nueva: Praeclarissimo ac strenuissimo viro Napoleont Bonaparte} supremo Reipublicae gallontm Consuli, amico</t>
  </si>
  <si>
    <t>Fráncisco Gregorio</t>
  </si>
  <si>
    <t>rancisco Exarch; á los Cadetes de Reales Guardias de infantería Española D. Manuel Rodríguez Perez, Don Fráncisco Gregorio, D. Tomas Aguirre, D. Juan Ponsich, D. Felipe del Arco Agüero, D. Joseph Sánchez Tagle, D. Francisco Xaramillo, Don Dionisio López Pinto, D. Mariano Carrillo de Albornoz, D. Franc</t>
  </si>
  <si>
    <t>Francisco María</t>
  </si>
  <si>
    <t>Audiencia de Extremadura , ha venido en jubilarle, y nombrar para esta plaza que resulta vacante á D. Francisco María de'Valle y de Marimon.. Para una plaza de Oidor supernumerario de la Audiencia de Sevilla Á D. Joseph Morillas y Navarrete, Alcalde del crimen mas antiguo de la Chancíliería de Grana</t>
  </si>
  <si>
    <t>Francisco Martín</t>
  </si>
  <si>
    <t>.'sentimientos, y usando de su acreditada generosidad.,, consignó un-;pr&gt;emio grande de 5 5 pesos á D. Francisco Martin;, y otrojle; 35’á. D. Pedro,;Nógueyra. En la gazeta última &gt; pág. 872, donde, dice para el Priorato de Moyay debe decir Meyá; y en el Beneficio dé la parroquial de Liria, debe dec</t>
  </si>
  <si>
    <t>Francisco Xavier</t>
  </si>
  <si>
    <t>la de la Igualada , en Cataluña, á D. Agustín Alberch. En America, El Rey -se ha servido conferir á D. Francisco Xavier 'Montufar/Corregidor interino de la villa de Riobamba, en el distrito de la Audiencia de Quito, la propiedad de dicho destino; y para el Corregimiento de Latacumba, de la misma ju</t>
  </si>
  <si>
    <t>Francisco' Avendaño, Juan</t>
  </si>
  <si>
    <t>Juan Francisco' Avendaño</t>
  </si>
  <si>
    <t>de Sigüenza, vacante por traslación de D. Miguel Alonso á una Canongía de la catedral de Cuenca, á D. Juan Francisco' Avendaño, con dimisión de la Dignidad que obtiene en Astorga: para ei Beneficio de la parroquial de la villa de Gumiel de Izan , y el de la parroquia de Villaescusa, ámbos en la diócesis d</t>
  </si>
  <si>
    <t>Francisco, Archiduque</t>
  </si>
  <si>
    <t>Archiduque Francisco</t>
  </si>
  <si>
    <t>Malta, ha ofrecido su mediación al mismo tiempo que lo ha hecho el Emperador de Rusia. S. A. R. el Archiduque Francisco ha sido inoculado con la vacuna el 2,t del mes último, y g^za la salud mas perfecta en su edad de 5 meses. Como este método no está extendido generalmente, y que en algunas provin</t>
  </si>
  <si>
    <t>Francisco, Príncipe</t>
  </si>
  <si>
    <t>Príncipe Francisco</t>
  </si>
  <si>
    <t>&amp;32 sul. El Príncipe Francisco volverá á salir muy pronto para París, acompañado de la Princesa su madre, para asistir á las bodas que se celebrarán, según dicen, luego que el primer Cónsul vuelva de su viage á</t>
  </si>
  <si>
    <t>Francisco-Reyna</t>
  </si>
  <si>
    <t>Juan Carrera, D. Joseph Michan, D. Gregorio Pardo, D. Joseph Lana, D. Juan Sánchez, D. Joseph Ruiz, D. Francisco-Reyna y D. Joseph Vergara. El Rey ha nombrado en el Real cuerpo de Ingenieros Capitán primero á D. Pedro Grinda, Capitán segundo; y para este empleo al Teniente D. Alexandro Pastor. y En lo</t>
  </si>
  <si>
    <t>Francisco-Velasco y Ferrandiz</t>
  </si>
  <si>
    <t>a á D. Ignacio Yanguas y Segovia: para laVara de Alcalde mayor, primera de la, ciudad de Granada, á D. Francisco-Velasco y Ferrandiz: para la deja'de Santander á D. Francisco Noriega: para el Corregimiento de Letras de la villa de Arévaio á D. Justo Martínez de Baños; y para el de Medina del Campo , que este de</t>
  </si>
  <si>
    <t>Franco Quintana, Miguel</t>
  </si>
  <si>
    <t>Miguel Franco Quintana</t>
  </si>
  <si>
    <t>por promoción de D. Antonio Roca y Seyxas al Priorato de Coba, Dignidad de la catedral de Lugo , á D. Miguel Franco Quintana:</t>
  </si>
  <si>
    <t>Franco, Gaspar</t>
  </si>
  <si>
    <t>Gaspar Franco</t>
  </si>
  <si>
    <t>tercer batallón del de Saboya D. Gabriel de Salamanca ; Compañía al Ayudante, grádííadó de Capitán; D. Gaspar Franco, y Teñenóia al Subte^ niente D. Francisco de Castro: en el de Toledo Compañía áT Ayudante; con grado- de Capitán, D. Joseph Garate, y Súbténericiáj de bandera al -Sargento primero</t>
  </si>
  <si>
    <t>Franco, Vicente Ignacio</t>
  </si>
  <si>
    <t>Vicente Ignacio Franco</t>
  </si>
  <si>
    <t>ublicó un premio de 1® rs. como accessit, que se adjudicó al socio de mérito D* Vicente Ignacio Franco, autor de una Memoria sobre la población de primero, segundo y tercer orden de este reyno de Valencia;, y una demostración honorífica al maestro de escribir D. Joseph Zurita , de las obr</t>
  </si>
  <si>
    <t>Franeisé'o Antonip de Antuñano</t>
  </si>
  <si>
    <t>imeros D. Agustín Devidé y D. Lucas Arjó; y ha concedido en el dé Valencia Capellanía ai presbítero D. Franeisé'o Antonip de Antuñano. El Rey ha conferido empleo de Ayudante en los regimientos provinciales de Xeon, Guadix y Bu jal anee á D. Joseph Antonio Zapino, D. Pédro Martínez y D. Bartolomé Obeso y Cevallos</t>
  </si>
  <si>
    <t>Frank, Joseph</t>
  </si>
  <si>
    <t>Joseph Frank</t>
  </si>
  <si>
    <t>ones morborum chronicorum juxta novam Brunonis methodum, pars altera. Esta obrita, publicada por el Dr. Joseph Frank, Catedrático de medicina práctica en la universidad de Pavía, contiene varias observaciones de enfermedades crónicas, Ilustradas por él mismo con sólidas y luminosas doctrinas bro</t>
  </si>
  <si>
    <t>Frankland</t>
  </si>
  <si>
    <t>a de los Comunes de ayer, porque apenas comenzó á hablar el Coronel Crawford, quando á propuesta de Mr. Frankland se hizo salir la gente de las galerías. Se trataba todavía de la defensa de la nación, y solo se sabe lo siguiente de una qiiestion, cuyos debates duraron hasta muy tarde de la no</t>
  </si>
  <si>
    <t>Frasnedo, Juan</t>
  </si>
  <si>
    <t>Juan Frasnedo</t>
  </si>
  <si>
    <t>o Peretti: en el de Montesa Compañías al Ayudante mayor D. Eugenio Ramón dé Azcarraga y al Teniente D. Juan Frasnedo; Ayudantía al Teniente, graduado de Capitán , D. Joseph Campos; Tenencia al Alférez D. Juan Cabrera , y el empleó de Alférez al Portaestandarte DvJpséph;Frásiiedo:: en el de cazad</t>
  </si>
  <si>
    <t>Fravega, Joseph</t>
  </si>
  <si>
    <t>Joseph Fravega</t>
  </si>
  <si>
    <t>guriana. He recibido, ciudadanos, la carta en que me anunciáis haber llamado al ciud. Joseph Fravega, que había residido hasta ahora cerca de la República francesa en calidad de Ministro plenipotenciario de la República liguriana, para que exerza en su patria</t>
  </si>
  <si>
    <t>Fray, Andrés</t>
  </si>
  <si>
    <t>Andrés Fray</t>
  </si>
  <si>
    <t>..D. Esteban de V aldivielso. En Barcelona...... D, Ramón de Llordella é hijo. En Burgos............D. Andrés Fray le. En Cádiz........ . D. Benito de la Piedra. En Cartagena.......D. Manuel de Ozores. En Ciudad-Real... D. Ramón Antonio Pico*</t>
  </si>
  <si>
    <t>.... D. Tomas Merino Ortiz. En Barcelona........D. Ramón de Llordeüa é hijo. En Báreos..............D. Andrés Fray le. En Cádiz................ D. Benito de la Piedra. En Cartagena........ D. Manuel de Ozores. En Ciudad-Real.,. D. Ramón Antonio Pico. En Córdoba............ Sres. Barcia padre é</t>
  </si>
  <si>
    <t>Frayle, Andrés</t>
  </si>
  <si>
    <t>Andrés Frayle</t>
  </si>
  <si>
    <t>....... D. Tomas Merino Ortiz. En Barcelona.......D. Ramón de Llordella é hijo. En Burgos........ . D. Andrés Frayle. En Cádiz...... D. Benito de la Piedra. En Cartagena........D. Manuel de Ozores. En Ciudad-Real... D. Ramón Antonio Pico. En Córdoba...........Sres. Barcia padre é hijo. En la Cor</t>
  </si>
  <si>
    <t>Freudenrich-Thorberg</t>
  </si>
  <si>
    <t>nes al gobierno francés, quien hasta ahora no le ha dado respuesta alguna. En este estado de cosas, Mr. Freudenrich-Thorberg, diputado de Berna, sometió este asunt® al conocimiento de la Dieta, declarando que su cantón se veia en el caso de tener que invocar la decisión del Sindicato; pero quería sin em</t>
  </si>
  <si>
    <t>Frey, Manuel</t>
  </si>
  <si>
    <t>Manuel Frey</t>
  </si>
  <si>
    <t>es de Olivencia; y á Teniente Coronel del regimiento de caballería de la Reyna, segundo de línea, á Don Manuel Frey re, Comandante del de Húsares Españoles. El Rey ha nombrado Coronel del regimiento provincial de Toro á Frey D. Joseph Cabeza de Vaca, Capitán del Real cuerpo de Artillería: para</t>
  </si>
  <si>
    <t>Freylhard</t>
  </si>
  <si>
    <t>gal. Este proyecto se adoptó unánimemente. El dia 9 en el Cuerpo legislativo el ciud. Freylhard leyó el proyecto de ley, tít. 4.0 del código civil, intitulado del divorcio, é hizo ua discurso muy largo , exponiendo los motivos de dicho proyecto, y se seña</t>
  </si>
  <si>
    <t>Freyre de Cora, Antonio</t>
  </si>
  <si>
    <t>Antonio Freyre de Cora</t>
  </si>
  <si>
    <t>. Mariano Alonso, Oidor de la Chancíliería de Valladolid. Condescendiendo S. M. con la solicitud de D. Antonio Freyre de Cora , Alcalde del crimen de la Audiencia de Extremadura , ha venido en jubilarle, y nombrar para esta plaza que resulta vacante á D. Francisco María de'Valle y de Marimon.. Para una p</t>
  </si>
  <si>
    <t>Frían, General</t>
  </si>
  <si>
    <t>General Frían</t>
  </si>
  <si>
    <t>o de equipar por cuenta suya algunas lanchas cañoneras para volver á atacar las costas de Túnez. El General Frían, Inspector de la infantería francesa que se halla en este Reyno , salió de esta capital el día 24 del corriente para su destino, y se aguarda de un momento á otro al General Kelle</t>
  </si>
  <si>
    <t>Frigola, Joseph</t>
  </si>
  <si>
    <t>Joseph Frigola</t>
  </si>
  <si>
    <t>dado en la parroquial de la villa de S. Pedor, baxo la invocación de S. Pedro, diócesis de Vique, á D. Joseph Frigola. Los tenedores de Vales-dinero de la Real Caxa de Consolidación, -de la creación de i.° de Setiembre de 1802, acudirán á presentarlos en 3a misma Caxa para su renovación, ó percep</t>
  </si>
  <si>
    <t>Frontera, Juan</t>
  </si>
  <si>
    <t>Juan Frontera</t>
  </si>
  <si>
    <t>pHijo de Benito y de Catalina Seguí,q ; natural de Soller en Mallorca, de4.a.. Juan Frontera........ &lt;¡ pendiente del Corregimiento de Pal- r 120, v. ma. Murió en 27 de Diciemb. de 9 5. j Hijo de Simón y de Isabel Codolá, na-q tural de Barcelona en Cataluña, de- ( 1¿G • 3 • • Simón Parelíada. pendiente del Corr</t>
  </si>
  <si>
    <t>Frutos Sacristán</t>
  </si>
  <si>
    <t>a visita y 2 reales por cada pulso al que no sea pobre de solemnidad. Se dirigirán los memoriales á D. Frutos Sacristán, Escribano de Ayuntamiento, que se admitirán hasta el dia 28 de Diciembre. Los subscriptores á la obra intitulada Tratado elemental ó principios de física, escritos en francés por</t>
  </si>
  <si>
    <t>Fulwar Skippwick</t>
  </si>
  <si>
    <t>el Emperador dé Marruécos, sobre las basas del tratado de 1786. Esta noticia ha sido comunicada por Mr. Fulwar Skippwick, Agénte comercial de los Estados-Unidos. * La clase de las ciencias matemáticas y físicas del Instituto nacional/ ha suspendido la adjudicación del premio anual 'establecido, por</t>
  </si>
  <si>
    <t>Funes, Gregorio</t>
  </si>
  <si>
    <t>Gregorio Funes</t>
  </si>
  <si>
    <t>del Tucu man ^vacante por promoción del Dr. D. Nicolás Videla del Pino al Obispado del Paraguay, á D. Gregorio Funes, Arcediano de la misma iglesia: para este Arcedianato al Chalis •tre D. Miguel det Moral; y para la Chantría al Canónigo Magistral Don Juan Justo Rodríguez. Igualmente se ha servi</t>
  </si>
  <si>
    <t>Fussli</t>
  </si>
  <si>
    <t>, sino que tuvieron el disgusto de que no fuese nombrado en el Consejo Menor el ciud. Fussli, miembro del Consejo executivo de la República helvética, cuyas miras rectas, juicio sano y extrema moderación, le han merecido con tantos títulos la confianza</t>
  </si>
  <si>
    <t>Fuster, Felipe</t>
  </si>
  <si>
    <t>Felipe Fuster</t>
  </si>
  <si>
    <t>regimiento de infantería de Soria se ha servido promover el Rey á Subteniente de bandera -al Cadete D. Felipe Fuster: en el segundó batallón de Voluntarios de Cataluña á Teniente al Subteniente 1). Ventura Codina i én !el di Voluntarios de Valencia á Subteniente de bandera al Sargento primero'^d</t>
  </si>
  <si>
    <t>Gabaldon y López, Luis</t>
  </si>
  <si>
    <t>Luis Gabaldon y López</t>
  </si>
  <si>
    <t>ico á beneficio de la mayor ilustración de los encargados déla educación pública. Presidió la junta Don Luis Gabaldon y López, Regidor perpetuo de la villa de Madrid, Juez Subdelegado, Protector de dicho Colegio; y se principió con un discurro, que leyó eí mismo, dirigido á manifestar los singulares y ef</t>
  </si>
  <si>
    <t>Gaber, Fernando</t>
  </si>
  <si>
    <t>Fernando Gaber</t>
  </si>
  <si>
    <t>lar. El Rey se ba servido conceder en el regimiento de infantería de la Reyna Ayudantía al Teniente D. Fernando Gaber: en el de Africa Tenencia al Subteniente de granaderos D: Antonio Navarro, y Subtenencia de bandera al Sargento primero D. Antonio Arteaga: en el de Valencia Compañía al Ayudante,</t>
  </si>
  <si>
    <t>Gabuzio, Joseph</t>
  </si>
  <si>
    <t>Joseph Gabuzio</t>
  </si>
  <si>
    <t>Angel Martínez ; y á Subtenientes en el regimiento de infantería Suizo de Bestschart á los Cadetes D. Joseph Gabuzio y D. Justo Mohr. Por el Ministerio de Hacienda se ha comunicado con fecha de 23 de Octubre la Real orden siguiente: ,, El Rey se ha servido mandar que se admitan á comercio los biombo</t>
  </si>
  <si>
    <t>Gaiiano, Dionisio</t>
  </si>
  <si>
    <t>Dionisio Gaiiano</t>
  </si>
  <si>
    <t>r, Siria, Egipto y Berbería hasta el cabo Bon, la fragata de guerra Soledad, al mando del Brigadier D. Dionisio Gaiiano: encargado de establecer en latitud y longitud los puntos principales de costa , d fin de que se pueda con este auxilio publicar la hoja tercera y ultima de la carta del Mediterrá</t>
  </si>
  <si>
    <t>Gaiindo, Domingo</t>
  </si>
  <si>
    <t>Domingo Gaiindo</t>
  </si>
  <si>
    <t>á Tenientes de fusileros á los Subtenientes D. Joseph Leandro Palacios, D. Joseph Antonio Cazcrla , D. Domingo Gaiindo, D. Rafael Monasterios, D. Simón de Bolívar, D. Miguel Uztariz y D. Agustín Carvallo: á Subteniente de granaderos al de fusileros D. Luis Carvallo; y {\ Subteniente de fusileros á</t>
  </si>
  <si>
    <t>GaIlano, Francisco</t>
  </si>
  <si>
    <t>Francisco GaIlano</t>
  </si>
  <si>
    <t>és Machadó: en el de ¡Navarra Tenencias á los Subtenientes D. Francisco González, D. Juan González, D. Francisco GaIlano y D. Antonio Valdes; y Subtenencias de bandera á los Sargentos ■primeros D. Manuel Bustamante y D. Francisco Moreno, al Cadete Don Joaquin Conde y al Subteniente de granaderos del pro</t>
  </si>
  <si>
    <t>Galamino, Ramón</t>
  </si>
  <si>
    <t>Ramón Galamino</t>
  </si>
  <si>
    <t>ío Pardo y Arce: parada Dignidad de Tesorero de la catedral de Segovia^Vacánté pór fallecimiento de D. Ramón Galamino, á D. Joseph de Azpeytia, Canónigo de la misma catedral: para una de las Capellanías que se hallan vacantes en la Real capilla de Señores Reyes nuevos de la ciudad de Toledo á D.</t>
  </si>
  <si>
    <t>as Agustinas de la Magdalena : para otra Canongía de la' cátedra! de Segovia, vacante por muerte de D. Ramón Galamino, á D. Diego de Subirán, Cura del Armuña, en aquella diócesis; y para una Ración de la catedral de Calahorra, vacante por promoción de D. Pedro Atanasio y Arce á la Dígnidadyie Arc</t>
  </si>
  <si>
    <t>Galguera, Juan</t>
  </si>
  <si>
    <t>Juan Galguera</t>
  </si>
  <si>
    <t>r, D. Juan Treviño y D. Luis Dreux, y los Sargentos primeros D. Toitiás Benávides, de granaderos, y D, Juan Galguera.</t>
  </si>
  <si>
    <t>Galiano y Cayetano Valdés, Dionisio</t>
  </si>
  <si>
    <t>Dionisio Galiano y Cayetano Valdés</t>
  </si>
  <si>
    <t>os en 1792 para examinar la entrada de Juan de Fuca y la internación de sus canales navegables, por D. Dionisio Galiano y Don Cayetano Valdés, Brigadieres de Marina: dos hojas marca mayor..................................................................... 30. 2$. Carta esférica de las costas de la América meridional de</t>
  </si>
  <si>
    <t>Galiano, Dionisio</t>
  </si>
  <si>
    <t>Dionisio Galiano</t>
  </si>
  <si>
    <t>que hacer en esta parte, y despachó desde S. Blas en 1792 las goletas Sutil y Mexicana al mando de D. Dionisio Galiano y D. Cayetano Valdés, Capitanes de Fragata entonces, y hoy Brigadieres de la Armada, á explorar el estrecho de Fuca, y levantar la carta geográfica de sus márgenes. Verificada' en poc</t>
  </si>
  <si>
    <t>Galindo, Antonio Joseph</t>
  </si>
  <si>
    <t>Antonio Joseph Galindo</t>
  </si>
  <si>
    <t>Madolell: para la de la ciudad, de Vique á D. Antonio Argentiy Leis; y para la de la de Balaguer á D. Antonio Joseph Galindo. En América. El Rey se lia servido nombrar para el Obispado &lt;ie Cebú, en las Islas Filipinas', vacante por renuncia de D. Juan Francisco D ominguez , á Fr. Joaquín de la Virgen de</t>
  </si>
  <si>
    <t>Galindo, Francisco Joseph</t>
  </si>
  <si>
    <t>Francisco Joseph Galindo</t>
  </si>
  <si>
    <t>tenencias de Bandera en los de Jaén, Ronda, Granada y Laredo á Don Francisco Joseph Galindo, D. Cayetano Clavero González Hidalgo, D. Pedro Martínez Coronado y D. Juan Joseph de Espina y Escorza. El dia 17 de Diciembre último arribó al puerto de Lisboa el bergantín corre</t>
  </si>
  <si>
    <t>Galindo, Manuel</t>
  </si>
  <si>
    <t>Manuel Galindo</t>
  </si>
  <si>
    <t>Media-Capellanía R acional de la catedral deTarazona, vacante por muerte de Don Cenon de Torres, á D. Manuel Galindo; y para una Capellanía de las</t>
  </si>
  <si>
    <t>Galindo, Nicolás</t>
  </si>
  <si>
    <t>Nicolás Galindo</t>
  </si>
  <si>
    <t>nto de dragones de España, fixo de México, se ha servido S. M. promover á Tenientes á los Alféreces D. Nicolás Galindo y D. Gabriel Rringas; á Alféreces á los Portaguiones D. Sebastian de Ozta y Cotera, D. Ignacio Millan y D. Francisco Lozada, y á Portaguiones á los Cadetes D. Domingo Savariego, y D.</t>
  </si>
  <si>
    <t>Galisteo y Giorro, Félix</t>
  </si>
  <si>
    <t>Félix Galisteo y Giorro</t>
  </si>
  <si>
    <t>y poderosos acerca de su salud : obra escrita en francés por Mr. Tisot, y traducida al español por D. Félix Galisteo y Giorro, profesor de cirugía. Se hallará en la librería de Fernandez , frente á las gradas de S. Felipe. Diálogos de los muertos, en que procura inspirar horror al vicio, y saludables máx</t>
  </si>
  <si>
    <t>Galiuzó, Joseph</t>
  </si>
  <si>
    <t>Joseph Galiuzó</t>
  </si>
  <si>
    <t>Mariscal de Campo D. Antonio Zamorano; á Xefe de escuela del departamento de Barcelona al Brigadier D. Joseph Galiuzó, y á Coronel del quarto regí</t>
  </si>
  <si>
    <t>Gallardo, Francisco</t>
  </si>
  <si>
    <t>Francisco Gallardo</t>
  </si>
  <si>
    <t>de España D. Antonio Delgado: en dicho regimiento de España á Teniente al Subteniente de granaderos D. Francisco Gallardo; y á Subteniente de bandera al Sargento primero de granaderos D. Joaquín Romero; habiendo nombrado también S. M. Capellán del primer batallón del de infantería de Soria al presbít</t>
  </si>
  <si>
    <t>Gallardo, Fulgencio</t>
  </si>
  <si>
    <t>Fulgencio Gallardo</t>
  </si>
  <si>
    <t>León, Fenol y Cartagena: en . Cádiz en la Librería de D. Victoriano Pajares: en Cartagena en la de D. Fulgencio Gallardo: en la Coruña en la de Di Manuel de Soto: en el Colegio de S. Telmo de Sevilla; y en América en las . Comandancias de Marina, Capitanías de puerto, &amp;c.—Al fin se apuntan varias no</t>
  </si>
  <si>
    <t>Gallarza, Francisco</t>
  </si>
  <si>
    <t>Francisco Gallarza</t>
  </si>
  <si>
    <t>argento primero de granaderos D011 Christóbal Uztarroz : en el de la Corona Tenencia al Subteniente Don Francisco Gallarza: en el de Africa Tenencia al Subteniente D. Joseph Miguel Melendez: en el de Zamora Tenencia al Subteniente de granaderos D. Felipe Otermin: en el de Guadalaxara Tenencia al Subte</t>
  </si>
  <si>
    <t>Gallat'in, Alberto</t>
  </si>
  <si>
    <t>Alberto Gallat'in</t>
  </si>
  <si>
    <t>5 DE MARZO DE 1803. n Nueva-Yorck r§ de Enero. v^egun las cuentas que el Secretario de la tesorería Mr. Alberto Gallat'in na dado a la legislatura, parece qué la hacienda publica del gobierno general de los Estados-Unidos se ha aumentado 8.085,5 x7 dolares en 18 meses.__ Ha habido grandes dificultade</t>
  </si>
  <si>
    <t>Galle</t>
  </si>
  <si>
    <t>, y se quemara los dvedos de la mano izquierda. Una casualidad ha presentado ai ciud. Galle, boticario que fué de los exércitos y de Italia, un descubrimiento de los mas felices contra los efectos funestos, y por desgracia tan freqüentes, del cardenil</t>
  </si>
  <si>
    <t>Gallimachi, Príncipe</t>
  </si>
  <si>
    <t>Príncipe Gallimachi</t>
  </si>
  <si>
    <t>Dios le colme de años y de prosperidades.” El Gran Visir dió á este discurso una respuesta, que el Príncipe Gallimachi interpretó en estos mismos términos: „ Habiendo la Sublime Puerta experimentado la mayor satisfacción por la renovación y firmeza de la antigua y sincera amistad que existia, entr</t>
  </si>
  <si>
    <t>Gallo, Francisco María</t>
  </si>
  <si>
    <t>Francisco María Gallo</t>
  </si>
  <si>
    <t>bteniente de granaderos al de fusileros Don Joseph Sauri, y á Subtenientes de bandera á los Cadetes D. Francisco María Gallo y D. Antonio Joseph Muñoz. Quien quisiere hacer mejora á dos tierras sitas en el término del lugar de Alcorcon , la una donde dicen Pedazo de los Morales, y la otra retamar al parage</t>
  </si>
  <si>
    <t>Galocha Gutiérrez, Agustin</t>
  </si>
  <si>
    <t>Agustin Galocha Gutiérrez</t>
  </si>
  <si>
    <t>de Toledo, vacante por promoción de D. Joseph Blas García Moreno al Ai% ciprestazgo de Talamanca, á D. Agustin Galocha Gutiérrez: para otra de la Catedral de Palencia, vacante¡por fallecimiento de D. Angel Velasco, á D. Manuel Castalio: para otra de la de Guadix , vacante por muerte de D. Gumesindo Ortiz, á</t>
  </si>
  <si>
    <t>Gamble</t>
  </si>
  <si>
    <t>un resorte que tenían en medio, y ocultarse cómodamente baxo la ropa. Habiéndole hecho presente el Dr. Gamble que Emmett le había confesado pocas horas ántes de morir que en la noche de L última insurrección no contaba con mas de 80 hombres que pudiesen ayudarle en sus depravados designio</t>
  </si>
  <si>
    <t>Gamborino, Miguel</t>
  </si>
  <si>
    <t>Miguel Gamborino</t>
  </si>
  <si>
    <t>6 quartos. " La colección de estampas del Via crucis, dibuxadas por D. Vicente López y grabadas por D. Miguel Gamborino, se hallarán en las librerías de Escribano y de Gómez, calle de la Carretas, y en Valencia en la deMinguet , á 3 rs. cada estampa. Juego nuevo de las 9 lamentaciones del miércoles</t>
  </si>
  <si>
    <t>Gamero, Antonio</t>
  </si>
  <si>
    <t>Antonio Gamero</t>
  </si>
  <si>
    <t>del Castillo y D. Manuel López Quintana, Cadetes de Reales Guardias Walonas, y al Sargento primero D. Antonio Gamero : Tenencia y Subtenencia en el regimiento de infantería Suizo de Reding al Subteniente de granaderos D. Joseph Zeberg, y al Cadete Don Damián Bonard. S. M. se ha servido conferir</t>
  </si>
  <si>
    <t>Gamón, Joseph</t>
  </si>
  <si>
    <t>Joseph Gamón</t>
  </si>
  <si>
    <t>e. Campn, de Madrid , remitió por el correo de 8 de Febrero de este año, endosados con esta fecha a D. Joseph Gamón,, de Málaga, tres• vales Reales de 150 pesos, renovados en i.° de Enero, números 224484, 224979 y 233103. Habiéndose extraviado, se suplica á quien sepa de ellos que dé razón en M</t>
  </si>
  <si>
    <t>Gandara, Benito</t>
  </si>
  <si>
    <t>Benito Gandara</t>
  </si>
  <si>
    <t>. Martin , fundado en la capilla del castillo de Boltrega, diócesis de Vique, vacante por muerte de D. Benito Gandara, á D. Mariano Ros y Gols: para otro Beneficio , baxo la invocación de Ntra. Sra., llamado de Buira Llivina,de la colegial de S. Juan de las Abadesas, diócesis de Vique, vacante po</t>
  </si>
  <si>
    <t>Garate, Joseph</t>
  </si>
  <si>
    <t>Joseph Garate</t>
  </si>
  <si>
    <t>Subte^ niente D. Francisco de Castro: en el de Toledo Compañía áT Ayudante; con grado- de Capitán, D. Joseph Garate, y Súbténericiáj de bandera al -Sargento primero D. Andrés Peréz : en el dé León Capélláhíá ái presbítero D. Manuel Castaño y Asensio: en el de Asturias Compañía al Teniente de gr</t>
  </si>
  <si>
    <t>Garayo, Manuel</t>
  </si>
  <si>
    <t>Manuel Garayo</t>
  </si>
  <si>
    <t>Teniente D. Tomas Ortega; á Tenientes á los Alféreces D. Francisco Car- cer, D. Juan Manuel Marín, D. Manuel Garayo, D. Joseph Arenas,Don Joaquín Foruer , D. Pedro Alcántara Ruiz y D. Vicente Asco ; á Alféreces á los Portaguiones D. Juan Rondeau , D. Andrés Ordoñez y D. Fran- » cisco de Paula C</t>
  </si>
  <si>
    <t>Garcés, Gregorio</t>
  </si>
  <si>
    <t>Gregorio Garcés</t>
  </si>
  <si>
    <t>stellana,expuesto en el propio y vario uso de sus partículas , nombres y verbos : por el presbítero D. Gregorio Garcés,, ex-jesuíta•• dos tomos en 4.0 enquadernados en uno. El autor á costa de una larga lectura y observación de la dicción y elegancia de crecido número de escritores nacionales en d</t>
  </si>
  <si>
    <t>Garcés, Miguel</t>
  </si>
  <si>
    <t>Miguel Garcés</t>
  </si>
  <si>
    <t>btenientes á los Cadetes D. Felipe Antonio Valencia y D. Mariano Arroyo, y á los Sargentos primeros D. Miguel Garcés, D. Francisco Joseph de Ribera, y D. Francisco Román , el primero y último de granaderos. Y en el de Milicias de caballería de la propia isla há promovido S. M. á Capitán al Tenie</t>
  </si>
  <si>
    <t>Garces, Ramón</t>
  </si>
  <si>
    <t>Ramón Garces</t>
  </si>
  <si>
    <t>tán, D. Jayme Prat* y en el primer batallón de voluntarios de Aragón á Capitán segundo* al Teniente D. Ramón Garces. En América. El Rey se ha dignado conceder el empleo de Subteniente de bandera en el regimiento de infantería lixo de Cartagena al Cadete D. Joseph García del Fierro. f i Se vende</t>
  </si>
  <si>
    <t>Garci-Peiez de Vargas, Francisco</t>
  </si>
  <si>
    <t>Francisco Garci-Peiez de Vargas</t>
  </si>
  <si>
    <t>e bellas letras, protegida por e! Ayuntamiento de esta ciudad , y dirigida por su instituidor el P. D. Francisco Garci-Peiez de Vargas, de la congregación de S. Basilio, presentó</t>
  </si>
  <si>
    <t>Garci-Pérez de Vargas, Francisco</t>
  </si>
  <si>
    <t>Francisco Garci-Pérez de Vargas</t>
  </si>
  <si>
    <t>s años hace baxo la protección del Ayuntamiento de esta ciudad, y dirigida por su instituidor el P. D. Francisco Garci-Perez de Vargas, de la congregación de S. Basilio , presentó á sus alumnos por la primera vez á exámen general la mañana del domingo 20 del corriente. Se dio principio al acto con una agradable s</t>
  </si>
  <si>
    <t>García Alcázar, Juan Francisco</t>
  </si>
  <si>
    <t>Juan Francisco García Alcázar</t>
  </si>
  <si>
    <t>Bourman; y para una Capellanía de la Real capilla de Señores Reyes nuevos de la ciudad de Toledo á D. Juan Francisco García Alcázar. En el regimiento de infantería de Soria se ha servido promover el Rey á Subteniente de bandera al Cadete D. Gabriel Albelda: en el de Mallorca también á Subtenientes de bandera a</t>
  </si>
  <si>
    <t>García Almárza, Manuel Joaquín</t>
  </si>
  <si>
    <t>Manuel Joaquín García Almárza</t>
  </si>
  <si>
    <t>de aquella ciudad: para una Media-Ración de la catedral de Calahorra, vacante por fallecimiento de D. Manuel Joaquin García Almárza, á D. Antonio Bonifacio del Barrio, Cura de la catedral de aquella ciudad: para un Beneficio de S. Pedro de Murcia, vacante por muerte de D. Antonio Montezuma y Roxas, á D. Andrés</t>
  </si>
  <si>
    <t>García Baquero, Manuel</t>
  </si>
  <si>
    <t>Manuel García Baquero</t>
  </si>
  <si>
    <t>catedral de Guadix , vacante por promoción de D. Miguel Salido á Cano 11gía de la misma iglesia, á D. Manuel García Baquero; y para un Beneficio de la parroquia de Santa María de Caldas de Mombuy, diócesis de Barcelona, vacante por fallecimiento de D. Esteban Serxa, á D. Joseph Brichfeus. En la Compañí</t>
  </si>
  <si>
    <t>García Baraona, Juan</t>
  </si>
  <si>
    <t>Juan García Baraona</t>
  </si>
  <si>
    <t>réstamo de la parroquial de la villa de la Armuña, diócesis de Toledo, vacante por fallecimiento de D. Juan García Baraona, á D. Alexandro Barruchi, con retención de la demas renta eclesiástica que goza. ’ Se lian extraviado en fá Villa Centellas, corregimiento dé Vique, en el principado de Cataluña,</t>
  </si>
  <si>
    <t>García Benito, Juan</t>
  </si>
  <si>
    <t>Juan García Benito</t>
  </si>
  <si>
    <t>n al cabo de 34 amos se logró verlo concluido. Dignóse entonces nuestro actual Prelado el limo. Sr. D. Juan García Benito, á suplicas de la congregación, proceder á la consagración de la capilla, prefixando el 29 de Setiembre para la solemnidad, y disponiendo que la víspera se trasladasen á ella en p</t>
  </si>
  <si>
    <t>García Conde, Luis</t>
  </si>
  <si>
    <t>Luis García Conde</t>
  </si>
  <si>
    <t>a parroquial de Castellón de Ampurias, diócesis de Gerona, vacante por muerte de D. Pedro Gauler, á D. Luis García Conde. £1 Bey se ha servido conferir el empleo de Ayudante de la compañía de la Real Guardia de Alabarderos al Teniente Coronel D. Joseph de Beve, Capitán del regimiento de la Reyna, se</t>
  </si>
  <si>
    <t>28 de Junio. E 1 Rey.se ha servido nombrar para la Dignidad de Tesorero de la catedral de Tortosa á D. Luis García Conde: para una Canongía patrimonial de la colegial de Borja, diócesis de Tarazona, á D. Mateo Hernández: para un Beneficio de la parroquia de VÜlafranca del Panadés, diócesis de Barcel</t>
  </si>
  <si>
    <t>García de Aleña, Juan</t>
  </si>
  <si>
    <t>Juan García de Aleña</t>
  </si>
  <si>
    <t>e D. Juan Cabeza, á D. Ramón Escriche: para otra de la catedral de Orense, vacante por promoción de D. Juan García de Aleña, á D. Pedro Marrtiinez: para otra de la colegiata de la villa de Monzon, diócesis de Lérida, vacante por renuncia que ha hecho de ella D. Felipe Cabiedes, á D. Nicolás Gómez Cleme</t>
  </si>
  <si>
    <t>García de la Huerta, Vicente</t>
  </si>
  <si>
    <t>Vicente García de la Huerta</t>
  </si>
  <si>
    <t>segunda edición. Se hallará en la librería de Tieso, calle de las Carretas. ... Teatro español: por D. Vicente García de la Huerta : esta obra es una colección de las mas selectas comedías, y consta de 19 tomos en 8.°,divididos en cinco, partes: la iia comprehende las de figurón; k z.a las que comunmente se t</t>
  </si>
  <si>
    <t>García de la Madrid, Miguel</t>
  </si>
  <si>
    <t>Miguel García de la Madrid</t>
  </si>
  <si>
    <t>ados desde el 8 de este mes, ante e!. Sr. Alcalde D. Miguel Munarriz , y escribanía de provincia de D. Miguel García de la Madrid, que se le admitirán las que hiciese , con la precisa circunstancia de pagar en metálico 1500 rs. por el último Real valimiehto. Se desea saber el paradero de D. Miguel de Velasco</t>
  </si>
  <si>
    <t>n quisiere hacer postura acuda ante el Sr. Alcalde D. Miguel Munarriz, y escribanía de provincia de D. Miguel García de la Madrid , en el término de 30 dias , contados desde el 7 de este mes. Por el juzgado del Sr. Corregidor de la ciudad de Segovia, y escribanía del nú» mero de Manuel Iglesias García, se ve</t>
  </si>
  <si>
    <t>quisiere hacer dicha puja acuda ante el nominado Sr. Munarriz, y por la escribanía de provincia de D. Miguel García de la Madrid. Conscqüente á lo que se anunció y ofreció a! público en la gazeta de 7 de Enero último, por lo tocante á la rifa de los dos reloxes que se está executando, en virtud de facultad</t>
  </si>
  <si>
    <t>isiere hacer mejora acuda ante el Sr. Alcalde D. Miguel Munarriz, por la escribanía de provincia de D. Miguel García de la Madrid, en el término de 20 dias, contados desde el 4 de este mes. Hace 18 meses que se ignora el paradero de D. Joseph de Cevallos Escalera, Teniente del regimiento provincial de la ciu</t>
  </si>
  <si>
    <t>a enunciada mejora acuda ante el Sr. Alcalde D. Joaquín Herían, y por la escribanía de provincia de D. Miguel García de la Madrid. Con arreglo á los avisos comunicados al publico en los diarios de 4 de Enero, y del mismo , y en la gazeta de la propia fecha, á que se refiere igualmente el diar xío de 30 de Ma</t>
  </si>
  <si>
    <t>en valés Reales, acuda ante el Sr. Alcalde D. Joachin Herirán, y por la escribanía de provincia de D. Miguel García de la Madrid, previniendo estar señalado para su remate el lúnes 21 del corriente á, las 12 en punto de su mañana. A voluntad: de sus dueños se vende una hacienda raíz en la villa de Yepes, di</t>
  </si>
  <si>
    <t>bas ó á cada una con separación acuda ante el Sr. Alcalde D. Joaquín Herran, y por la escribanía de D. Miguel García de la Madrid dentro del término dje 15 dias contados desde 14 del corriente. Se solicita saber el paradero de D. Pedro Joseph Cónsul Jove, natural de la ciudad de Oviedo, el que en el año de 1782</t>
  </si>
  <si>
    <t>García de la Madrid, Miguel Joseph</t>
  </si>
  <si>
    <t>Miguel Joseph García de la Madrid</t>
  </si>
  <si>
    <t>por ellas 385,500 rs., acuda ante el Sr. Alcalde D. Miguel Munarriz , y escribanía de provincia de D. Miguel Joseph García de la Madrid , en el término de 1 5 dias, contados desde el dia 14 del corriente: previniendo se ha de rematar en el siguiente útil. Historia Eclesiástica, ó tratado de la Iglesia de J. C. : p</t>
  </si>
  <si>
    <t>siere hacer mejora acuda ante el Sr. Alcalde D. Joaquin Herran, y por la escribanía de provincia de D. Miguel Joseph García de la Madrid; previniendo se halla señalado para su remate mañana 4 del corriente. Catéchisme historique, contenant enabrégé rhistoire sainte et la doctrine chrétiene, par Mr. l’Abbé Fleury, P</t>
  </si>
  <si>
    <t>García de Mena, Juan</t>
  </si>
  <si>
    <t>Juan García de Mena</t>
  </si>
  <si>
    <t>Canongía Cardenalicia de la catedral de Orense, vacante por fallecimiento de D. Francisco Baños, á D. Juan García de Mena: para otra Canongía de la colegial del Salvador de la ciudad de Granada, vacante por muerte de D. Joseph MarinCa^ ballero, á D. Miguel Raygon y Díaz, Provisor y Vicario general de</t>
  </si>
  <si>
    <t>García de Mendoza</t>
  </si>
  <si>
    <t>ra la Dignidad de Chantre de la catedral de Badajoz, vacante por muerte de D. Manuel de Oliveros, á D. García de Mendoza, y Rocha: para una Canongía de la metropolitana de Tarragona á D. Domingo Sala: para la Canongía Doctoral de la catedral de Solsona, vacanfe por fallecimiento de D. Manuel Roxas,</t>
  </si>
  <si>
    <t>García del Fierro, Joseph</t>
  </si>
  <si>
    <t>Joseph García del Fierro</t>
  </si>
  <si>
    <t>eder el empleo de Subteniente de bandera en el regimiento de infantería lixo de Cartagena al Cadete D. Joseph García del Fierro. f i Se venden 3 casas á voluntad de su»dueño, las dos unidas en la calle del Amor de Dios baxa,núm. 6,.manz. 59, con 6422 pies de sitio, tasadas en 69,578 rs., j reditúan anualme</t>
  </si>
  <si>
    <t>García Dómenech, Joaquín</t>
  </si>
  <si>
    <t>Joaquín García Dómenech</t>
  </si>
  <si>
    <t>rector de la Real Academia de Jurisprudencia práctica, titulada de la Concepción, leído en ella por D. Joaquín García Dómenech, su individuo y de la Real del Derecho Español. Se hallará en la librería de Hurtado, calle de las Carretas, y en Valencia, Sevilla, Granada, Valladolid y Oviedo. ~EN LA IMPRENTA</t>
  </si>
  <si>
    <t>García Domenech, Joaquín</t>
  </si>
  <si>
    <t>Joaquín García Domenech</t>
  </si>
  <si>
    <t>i de Octubre, ha adjudicado un¿ medalla académica de plata y derecho á la jubilación á su individuo D. Joaquín García Domenech, por haber comentado á satisfacción del Cuerpo el libro 7.0 de la Corrupción de las artes del célebre Juan Luis Vives. El Consejo, á consulta de la Comisión gubernativa de Consoli</t>
  </si>
  <si>
    <t>García Estepa, Antonio</t>
  </si>
  <si>
    <t>Antonio García Estepa</t>
  </si>
  <si>
    <t>Subteniente de granaderos D. Antonio Xerez: en el de Aragón á Teniente al Subteniente de granaderos D. Antonio García Estepa ; y en él batallón de Voluntarios de Valencia á Teniente al Subteniente D. Pedro Joseph Diáz. ' En América. El Rey se ha servido conferir el empleo de Comandan-i te del esquadron</t>
  </si>
  <si>
    <t>García Fernández, Andrés</t>
  </si>
  <si>
    <t>Andrés García Fernández</t>
  </si>
  <si>
    <t>Vivero , Dignidad de la catedral de Mondoñedo, vacante por fallecimiento de D. Ma-^ nuel Delgado, á D. Andrés García Fernandez, pensionándola en io© rs. á favor de la Real capilla; para la Maestrescodía^y Oanongía unida ,' vacante en ia ¡catedral de* Tu y por. muerte de Di joseph Ruiz Manjon, á D. Manuel</t>
  </si>
  <si>
    <t>García Fernández, Ángel</t>
  </si>
  <si>
    <t>Ángel García Fernández</t>
  </si>
  <si>
    <t>ro por cuenta de particulares, que ha depositado su Comandante en la casa &lt;fb comercio de los Sres. Don Angel García Fernandez y compañía en el Ferrol; lo que se anuncia para que los interesados acudan directa ó indirectamente con los conocimientos á dicha casa, en la que serán pagados. A consecuencia de la</t>
  </si>
  <si>
    <t>García Gutiérrez, Ángel</t>
  </si>
  <si>
    <t>Ángel García Gutiérrez</t>
  </si>
  <si>
    <t>6 ,307 S * * * rs. * 11Qualquiera persona que quiera tratar de ajuste , juntas ó separadas, acuda á D. Angel García Gutiérrez, que vive calle Real del Avapies, núm. 9 y 10, quarto principal, junto á la imprenta. ¡ A voluntad de su dueño se vende una casa sita en esta corte, calle de Cantarínas, núm. 1 ,</t>
  </si>
  <si>
    <t>García Martínez, Manuel Francisco</t>
  </si>
  <si>
    <t>Manuel Francisco García Martínez</t>
  </si>
  <si>
    <t>smo se'ha dignado S. M. conferir Capellanía en el regimiento de infantería de Navarra al presbítero D. Manuel Francisco García Martínez.</t>
  </si>
  <si>
    <t>García Moreno, Joseph Blas</t>
  </si>
  <si>
    <t>Joseph Blas García Moreno</t>
  </si>
  <si>
    <t>ispado de Toledo, vacante por promoción de D. Romualdo Moreno ai Deanato de la catedral de Coria, á D. Joseph Blas García Moreno, Racionero electo dé la iglesia primada de Toledo: para la Ración del colegio de Sancti-Spíritus de la ciudad de Santiago, vacante por promoción de D. Joseph Cornide y Pardo á una</t>
  </si>
  <si>
    <t>. Bernardo Sánchez Cidras: -para una Ración de la santa iglesia de Toledo, vacante por promoción de D. Joseph Blas García Moreno al Ai% ciprestazgo de Talamanca, á D. Agustin Galocha Gutiérrez: para otra de la Catedral de Palencia, vacante¡por fallecimiento de D. Angel Velasco, á D. Manuel Castalio: para ot</t>
  </si>
  <si>
    <t>García Ollpqui, Joseph</t>
  </si>
  <si>
    <t>Joseph García Ollpqui</t>
  </si>
  <si>
    <t>a: la del de Murcia al del propio cuerpo D. Antonio Cornide: la ael de León al del mismo regimiento D. Joseph García Ollpqui: la del de Irlanda al del propio cuerpo D. Juan Naghteñ: la del de Cantabria al del de Sevilla, graduado de Coronel, D. Joseph Falques : la del de Hibernia al dél mismo cuerpo, gr</t>
  </si>
  <si>
    <t>García Orozco, Francisco</t>
  </si>
  <si>
    <t>Francisco García Orozco</t>
  </si>
  <si>
    <t>anada, Chinchilla, Córdoba, Cuenca,. Xerezy Truxillo, á los Subtenientes D. Luis Ibañez de Navarra, D. Francisco García Orozco, Don Juan de Dios Carcelen, D. Rodrigo González, D. Joseph de Aulestia, D. Juan Gómez, D. Rafael Sopranis y D. Diego Bobadilla: á Subtenientes de granaderos en los de Sigiienza, A</t>
  </si>
  <si>
    <t>García Pa-r, Joseph</t>
  </si>
  <si>
    <t>Joseph García Pa-r</t>
  </si>
  <si>
    <t>, también de infantería, , al Xefe de brigada de Artillería D. Luis Pesino; á los Sargentos mayores D. Joseph García Pa-r redes y D. Tiburcio Francos; á los Capitanes primeros D. Mariano Breson y D. Juan Vcngoa, y al Capitán segundo D. Juan de Osma: a los Mayores de brigada de Ingenieros D. Juan Ordo</t>
  </si>
  <si>
    <t>García Panlagua, Félix</t>
  </si>
  <si>
    <t>Félix García Panlagua</t>
  </si>
  <si>
    <t>: vmd. lo verá por el adjunto proceso verbal que se ha publicado.” En el año pasado de 1784 remitió D. Félix García Panlagua, vecino de Carrion , á un dependiente de la casa del Sr. Conde de Noblejas varios papeles pertenecientes á diversos juros, á fin de que el citado dependiente los reconociese; pero</t>
  </si>
  <si>
    <t>García Pérez, Juan</t>
  </si>
  <si>
    <t>Juan García Pérez</t>
  </si>
  <si>
    <t>era de Duero, en el obispado de Palencia, vacante por fallecimiento de D. Baltasar Carlos Miñano, á D. Juan García Perez: para el Arciprestazgo de Cebico de la Torre, en la misma diócesis de Palencia, vacante por muerte del citado Miñano, á D. Pedro Hornillos: para el Beneficio de la iglesia de Sant</t>
  </si>
  <si>
    <t>García Piulare, Felipe</t>
  </si>
  <si>
    <t>Felipe García Piulare</t>
  </si>
  <si>
    <t>te mayor; este empleo al Teniente D. Camilo Morales; la Tenencia que resulta vacante al Subteniente D. Felipe García Piulare , y una Subtenencia de bandera al Subteniente D. Miguel Baamonde, Cadete que era del mismo cuerpo. También se ha dignado S. M. conceder la compañía veterana fixa de infantería del</t>
  </si>
  <si>
    <t>García Plaza, Isidoro</t>
  </si>
  <si>
    <t>Isidoro García Plaza</t>
  </si>
  <si>
    <t>nca............ D. Manuel Escolar y Noriega. En Granada........D. Francisco Unzaga. En Guadalaxara. D. Isidoro García Plaza. En Jaén...............D. Pedro y Juan Esponera. En León............. D. Pedro Gil de Tejada. En Malaga... ...%. D. Antonio Mariano. En Murcia..........Sres. Moreda y Ladalid. , E</t>
  </si>
  <si>
    <t>....... Viuda de Escolar y Noriega é hijo. En Granada......... D. Francisco Unzaga. En Guadalaxara. D. Isidoro García Plaza. En Jaén............... D. Pedro y D. Juan Esponera. En León.................D. Pedro Gil de Tejada. En Málaga...........D. Antonio Mariano. , En Mahon.............Doña Catalina G</t>
  </si>
  <si>
    <t>....... Viuda de Escolar y Noriega é hijo. En Granada......... D. Francisco Unzaga. En Guadalaxara. D. Isidoro García Plaza. En Jaén..................D. Pedro y D. Juan Esponera. En León..................D. Pedro Gil de Tejada. En Málaga............D. Juan Ximeno. En Mahon.............. Doña Catalina G</t>
  </si>
  <si>
    <t>García Puerta, Luis</t>
  </si>
  <si>
    <t>Luis García Puerta</t>
  </si>
  <si>
    <t>óoo pesos y el otro de 150. Quien quisiere hacer mejora acuda ante el Sr. Director de los hospicios D. Luis García Puerta , por la secretaría de ellos y escribanía de provincia deí cargo de D. Pedro de Valladares , que se admitirán las que se hagan siendo arregladas; en inteligencia de que para su re</t>
  </si>
  <si>
    <t>uadas en 11,902 rs. , acuda ante el Sr. Director Juez protector y privativo de los Reales hospicios D. Luis García Puerta , y por la secretaría de ellos y escribanía de provincia del cargo de D. Pedro de Valladares, en el término de 30 días, dentro del qual se admitirán las posturas y mejoras que se</t>
  </si>
  <si>
    <t>García Rodríguez Albarran, Juan</t>
  </si>
  <si>
    <t>Juan García Rodríguez Albarran</t>
  </si>
  <si>
    <t>. Vicente de Cáceres y Godoy al Arcedianato titular y Canongía unida de la catedral de Salamanca, á D. Juan García Rodríguez Albarran: para la Canongía que obtiene en la misma iglesia de Coria él referido D. Vicente de Cáceres, y resultará también vacante, á D. Juan Sánchez Conde, Cura de la parroquial de la vil</t>
  </si>
  <si>
    <t>García Segoviá, Manuel</t>
  </si>
  <si>
    <t>Manuel García Segoviá</t>
  </si>
  <si>
    <t>a al Teniente D. Cárlos Borelli; y en el de húsares dé Oiivencia los empleos de Alféreces al Cadete D. Manuel García Segoviá y al Sargento primero D. Joaquín de Torres. En América. El Rey se ha servido conferir el empleo de Secretarlo del Gobierno y Capitanía general de la isla dé Puerto-Rico al Capita»^</t>
  </si>
  <si>
    <t>García Vera, Antonio</t>
  </si>
  <si>
    <t>Antonio García Vera</t>
  </si>
  <si>
    <t>2 dalla de plata de dos ottzas á D. Pedro Terroba.— Quatro iguales de cabezas á D. Francisco Guzman,D. Antonio García Vera, D. Antonio Alamo y D. Manuel de Medina-----Para premiar la aplicación de otros quatro opositores de esta ultima ciase, se confirió á cada uno una onza de plata. __ Se despachó tí</t>
  </si>
  <si>
    <t>García Ximenez, Juan</t>
  </si>
  <si>
    <t>Juan García Ximenez</t>
  </si>
  <si>
    <t>a colegial: pa^ xa la Canongía que obtenía también en ella el referido D. Felipe de Rena y Sobral á D. Juan García Ximenez: para el Beneficio de S. Bartolomé de Carmona, en la diócesis de Sevilla, vacante por fallecimiento de D. Cándido María Trigueros, y por no haber acudido á tomar posesión D. Josep</t>
  </si>
  <si>
    <t>García y Alexo Alarcon, Manuel</t>
  </si>
  <si>
    <t>Manuel García y Alexo Alarcon</t>
  </si>
  <si>
    <t>a al Teniente D. Bernardo Vailariho; para los empleos de Tenientes á los Subtenientes de granaderos D. Manuel García y Don Alexo Alarcon, y para la Subtenencia de granaderos al Subteniente de fusileros D. Manuel Martínez Malo. También ha promovido S. M. en el regimiento de infantería de la Luisiana á Capitanes á io</t>
  </si>
  <si>
    <t>García, Antonio</t>
  </si>
  <si>
    <t>Antonio García</t>
  </si>
  <si>
    <t>los Subtenientes D. Pedro Bofarrull y D. Sebastian de Arroyo , de granaderos, D. Gabriel Tinajero , D. Antonio García, D. Joseph Lacomba, D. Domingo de Aragón , D. Joseph Nuñez, de bandera, y D. Diego Pizarro ; á Subtenientes de granaderos al de fusileros D. Ramón Valldejuli, y al de bandera D. L</t>
  </si>
  <si>
    <t>eros D. Joaquín Navarro: á Subteniente de bandera en el de Burgos al Sargento primero de granaderos D. Antonio García: á Subtenientes de bandera en el de León y en el segundo batallón de Voluntarios de Cataluña á los Cadetes de Reales Guardias Españolas D. Pedro Pablo Herce y Aguilera, y D. Rafae</t>
  </si>
  <si>
    <t>D. Dionisio Carro; y en el de Húsares de Olivencia Compañías á los Tenientes, graduados de Capitán, D. Antonio García y D. Juan Monsalve. Mn América. S. M. se ha servido conferir el empleo de Coronel del regimiento de infantería de Nueva España á D. Joseph de Gamíz, Teniente Coronel del mismo cuerpo.</t>
  </si>
  <si>
    <t>García, Francisco Xavier</t>
  </si>
  <si>
    <t>Francisco Xavier García</t>
  </si>
  <si>
    <t>na de las Varas de la ciudad de Zaragoza á D. Antonio Caro y Gini: para la de la ciudad de Lérida á D. Francisco Xavier García: para la de Granollers á D. Manuel Esteban Balmaseda: para la de Morella á D. Juan Pedro Aviles; y para la Vara de Alcalde mayor del Gobierno de la villa y partido de Alcántara, t</t>
  </si>
  <si>
    <t>García, Gregorio</t>
  </si>
  <si>
    <t>Gregorio García</t>
  </si>
  <si>
    <t>itán al Teniente de granaderos D. Juan de la Cruz Hartera; a Teniente de granaderos al de fusileros D. Gregorio García; a Tenientes de fusileros ¿ios Subtenientes D. Fran*cisco López de Vergara y D. Tomas Alburquerque, y á Subtenientes de bandera á los Cadetes D. Joseph de Céspedes y D. Juan de Di</t>
  </si>
  <si>
    <t>García, Joaquín</t>
  </si>
  <si>
    <t>Joaquín García</t>
  </si>
  <si>
    <t>vacunar, en la mañana del dia 16 de Octubre del año pasado de 1801, por el Cirujano de esta ciudad D. Joaquín García; y habiendo notad? desde el quinto al sexto dia que había prendido el fluido vacuno, siguió la vacunación todos los síntomas de fa verdadera, que especifican escritores,sin ningun</t>
  </si>
  <si>
    <t>e de granaderos D. Pedro Torrequemada: en el de Aragón á Ayudante al Teniente, graduado de Capitán, D. Joaquín García: en el primer batallón de Voluntarios de Aragón á Subteniente de bandera al Cadete D. Fabian Lagoanere; y en el batallón de Voluntarios de Valencia á Capitán segundo ai leniente y</t>
  </si>
  <si>
    <t>García, Joseph Ramón</t>
  </si>
  <si>
    <t>Joseph Ramón García</t>
  </si>
  <si>
    <t>dignado S.M, conceder Subtenencias de bandera en el regimiento de infantería de la Corona al Cadete D. Joseph Ramón García y á D. Juan Bautista Garviso: en el de Africa al Sargento primero Don Antonio Mendoza : en el de Guaialaxara al Cadete del de Reales Guardias Walonas D. Vicente Ortiz de Gordon: en</t>
  </si>
  <si>
    <t>García, Miguel</t>
  </si>
  <si>
    <t>Miguel García</t>
  </si>
  <si>
    <t>sSo i?rite dicho Sr. Alcalde, y por la escribanía de provincia de D. Miguel García de .U Madrid, que se le admitirá. Las casas, huerta con agua de pie, cerca, pasilla para el hortelano, hortalizas, árboles frutales, y 61 pedazos de tierra de caber 140 fanegas, 10 c</t>
  </si>
  <si>
    <t>García, Miguel Joseph</t>
  </si>
  <si>
    <t>Miguel Joseph García</t>
  </si>
  <si>
    <t>tas ó separadas, acuda ante el Sr. Alcalde Don Joaquín Herran, y por' la escribanía de Provincia dé D, Miguel Joseph García de</t>
  </si>
  <si>
    <t>García, Pablo</t>
  </si>
  <si>
    <t>Pablo García</t>
  </si>
  <si>
    <t>aba: en el de Toledo al Sargento primero de granaderos D*Manuel Carazo: en el de Hibernia al Cadete D. Pablo García de la . Peña ; y en el segundo batallón de Voluntarios de Cataluña al Cadete D. Joseph Lisach ; habiendo también nombrado S. M. en el regimiento de Africa Capellán al presbítero D. Jose</t>
  </si>
  <si>
    <t>García, Pedro</t>
  </si>
  <si>
    <t>Pedro García</t>
  </si>
  <si>
    <t>Francisco Caballero, Capitán de granaderos, y á esta al de fusileros, graduado de Teniente Coronel, D. Pedro García. El Rey se ha servido conferir Tenencias veteranas en el regimiento de Milicias disciplinadas de infantería de la Havana á D. Rafael de Huertas y D. Blas de Ariza, Sargentos prime</t>
  </si>
  <si>
    <t>García, Pedro Alexo</t>
  </si>
  <si>
    <t>Pedro Alexo García</t>
  </si>
  <si>
    <t>belda y D. Juan Nicolás de la Fuente, y á Subtenientes de bandera ai Sargento primero de granaderos D. Pedro Alexo García y ai Cadete D. Juan Clausells:cn el de Burgos á Ayudante al Teniente , graduado de Capitán, D. Francisco Martínez , y á Teniente al Subteniente de granaderos Don Alfonso María Ximen</t>
  </si>
  <si>
    <t>Garcini, Joseph</t>
  </si>
  <si>
    <t>Joseph Garcini</t>
  </si>
  <si>
    <t>tería de la Reyna, Granada y Cantabria á los Subtenientes de los mis-? mos cuerpos D. Manuel Ochoa, D. Joseph Garcini y D. Carlos Montero: en los dei Príncipe, España y Mallorca á los Subtenientes de granaderos D. Mariano Cañellas, D. Joseph Mancha y D. Manuel Virizuela: á Capitán segundo en el batal</t>
  </si>
  <si>
    <t>Garda Frayle, Gerónimo</t>
  </si>
  <si>
    <t>Gerónimo Garda Frayle</t>
  </si>
  <si>
    <t>ciales de la península ha promovido el Rey á Capitanes de fusileros en los de Valladolid y Avila, á D. Gerónimo Garda Frayle, Capitán reformado del primero, y á D. Gil Montalvo, Teñí ente del segundo: á Teniente de granaderos en el de Mondoñedo al de fusileros D. 1 omas Freyre:á Tenientes de fusileros e</t>
  </si>
  <si>
    <t>Gardner, Lord</t>
  </si>
  <si>
    <t>Lord Gardner</t>
  </si>
  <si>
    <t>opresión.” De Cork escriben que un buque de guerra ingles habló con otro dé los de la división del Lord Gardner, y.le.dixo que traía la noticia de haber sido tomada por asalto la isla de la Martinica: mas esta noticia necesita confirmación. Según las últimas noticias de Ceylan, parece que n</t>
  </si>
  <si>
    <t>Garlike</t>
  </si>
  <si>
    <t>ro. M r. Drummond está nombrado para reemplazar al;Lord Elgin, como Embaxador cerca de la Puerta; y Mr. Garlike reemplazará á Mr. Druminond en la corte de Nápoles. Son vagas y dudosas las noticias que- se esparcen sobre la situación de Irlanda. Una carta de Dublin del 20 de Enero dice que e</t>
  </si>
  <si>
    <t>Gárlos Pérez de Vera</t>
  </si>
  <si>
    <t>anaderos D. Pedro Piriz: en el de la Corona Compañía al Teniente de granaderos, graduado deCapitan, D. Gárlos Perez de Vera: en el de Granada Ayudantía al Teniente, graduado de Capitán, D. Clemente Torrent, y Subtenencias de bandera í los Cadetes D. Manuel de la Cruz y D. Andrés Arango, y al Sargento p</t>
  </si>
  <si>
    <t>Garlos, Archiduque</t>
  </si>
  <si>
    <t>Archiduque Garlos</t>
  </si>
  <si>
    <t>ugustos padres del nuevo caballero,' y muchos Príncipes y caballeros. Después déla ceremonia dio el-Archiduque Garlos u,n espléndido banquete.___ S. A. R. el Archidu-que.Palatino de Hungría partid el 8 para Petersburgo en compañía del Ccijde Szapazy.----S.Al.ha determinado hacer reparar y dar may</t>
  </si>
  <si>
    <t>ción de la misma ciudad, á un kreutzer menos que el precio ordinario , por el término de un año. El Archiduque Garlos ha escrito una carta muy lisonjera al magistrado de la ciudad, rogándole al mismo tiempo que manifieste su reconocimiento á sus conciudadanos, y les asegura que recomendará su pat</t>
  </si>
  <si>
    <t>Garlos, Príncipe</t>
  </si>
  <si>
    <t>Príncipe Garlos</t>
  </si>
  <si>
    <t>os de. su reynado, y en el discurso de su vida privada; Su1 muerte ha sido muy sensible, bu lijo el Príncipe Garlos ‘Federico Luis Mauricio de Isenbiirgo.,Comendador de la orden dé Maleta y nacido él 29 de Junio de 1766, le ha sucedido en la Regencia. . - Francfort $ de Febrero. . • E 1 Emperad</t>
  </si>
  <si>
    <t>Garly, Antonio</t>
  </si>
  <si>
    <t>Antonio Garly</t>
  </si>
  <si>
    <t>hes extinguida ; y no habiendo comparecido á usar del traslado qué tienen pendiente en dichos autos D. Antonio Garly , Mr. Gasin,como apoderado de D. Antonio Horme Salet, Doña Vicenta Gomet, como heredera de D. Juan Bautista 'Fabrega, Doña Isabel de la Plaza y Doña María Magdalena Chipa , como v</t>
  </si>
  <si>
    <t>Garnica, Joseph Antonio</t>
  </si>
  <si>
    <t>Joseph Antonio Garnica</t>
  </si>
  <si>
    <t>a de Ayuntamiento los exámenes públicos, que por estatuto deben celebrarse anualmente. El limo. Sr. D. Joseph Antonio Garnica, Obispo de esta diócesis, presidió la junta, á la que concurrieron muchos individuos de la primera distinción de este limo. Cabildo , universidad literaria , nobleza, comunidades</t>
  </si>
  <si>
    <t>Garreli, Francisco</t>
  </si>
  <si>
    <t>Francisco Garreli</t>
  </si>
  <si>
    <t>in, D. Terencio Le-Blanc, D. Benigno Calderón , D. Pedro' Rola, D. Juan Moreno; D. Ursino Bóuiigny, D. Francisco Garreli, Don1 Francisco de Hévia, P- Vicente Fernandez Texero, graduado de Teniente , D. Antonio Gayarre y D. Francisco LadeVese, los tres primeros Luis Dáunoy j D. Luis Bóuiigny; D. Luis</t>
  </si>
  <si>
    <t>Garrell, Pedro</t>
  </si>
  <si>
    <t>Pedro Garrell</t>
  </si>
  <si>
    <t>ijo de Pedro y de Catalina, naturah j de Reus, dependiente del Corregí- ¡ 2.a.. Pedro Garrell. \ miento de Tarragona. Murió en 5 j 216. 24 C de Julio de 1801........................ ...3 ......... ■( Hijo de Juan y de Paula Parralé, na»') tural de la Selva, dependiente del l 3.a.. Juan Figuerola. Corregimiento d</t>
  </si>
  <si>
    <t>Garreton, Luis</t>
  </si>
  <si>
    <t>Luis Garreton</t>
  </si>
  <si>
    <t>te al Teniente de granaderos D. Lázaro Perez; para el empleo que este dexa al Teniente de fusileros D. Luis Garreton, y para sus resultas al Subteniente D. Henrique Lasale Dincamps. Por el Ministerio de Hacienda se ha comunicado con fecha de 17 de Marzo la Real orden siguiente. El Rey se ha serv</t>
  </si>
  <si>
    <t>Garreton, Vicente</t>
  </si>
  <si>
    <t>Vicente Garreton</t>
  </si>
  <si>
    <t>S. M. se ha dignado conceder el empleo de Teniente del cuerpo de dragones de la frontera de Chile á D. Vicente Garreton, Subteniente del fhismo cuerpo; y los de Subtenientes á los Cadetes D. Manuel Ruiz y D.‘ Diego Padilla. El bergantín correo de la Real Armada el Descubridor, que salió de Cartagen</t>
  </si>
  <si>
    <t>Garrido y Torres, Antonio</t>
  </si>
  <si>
    <t>Antonio Garrido y Torres</t>
  </si>
  <si>
    <t>Pulgar, Teniente Capitán del regimiento de Ñapóles, y D. Francisco Cálvelo, y en poética y retórica D. Antonio Garrido y Torres. En seguida disertó muy elegante y oportunamente sobre la utilidad de la lengua francesa el profesor leones Don •Hipólito Garrabé, presidente de la clase de este idioma en la mism</t>
  </si>
  <si>
    <t>Garriga, Joseph</t>
  </si>
  <si>
    <t>Joseph Garriga</t>
  </si>
  <si>
    <t>idas en el año pasado de 1802 y algunas otras anteriores, dispuesto siguiendo el plan del autor por D. Joseph Garriga , Abogado de los Reales Consejos, V uno de los del ilustre Colegio de esta corte. Se hallará con los quadernos anteriores en la librería de Francés, frente á las eradas do S. Feii</t>
  </si>
  <si>
    <t>Gartshore</t>
  </si>
  <si>
    <t>Prusia protestaron formalmente contra ellas. Londres 18 de Marzo. E n la Cámara baxa el n de Marzo Mr. Gartshore propuso que se votasen io® marineros mas para el servicio del Rey por el tiempo de ti meses.__ Mr. Francis renovó con este motivo las antiguas instancias de su partido de que se d</t>
  </si>
  <si>
    <t>Garviso, Juan Bautista</t>
  </si>
  <si>
    <t>Juan Bautista Garviso</t>
  </si>
  <si>
    <t>nencias de bandera en el regimiento de infantería de la Corona al Cadete D. Joseph Ramón García y á D. Juan Bautista Garviso: en el de Africa al Sargento primero Don Antonio Mendoza : en el de Guaialaxara al Cadete del de Reales Guardias Walonas D. Vicente Ortiz de Gordon: en el de Sevilla ai Sargento '</t>
  </si>
  <si>
    <t>Garzen de Sanjus, Antonio</t>
  </si>
  <si>
    <t>Antonio Garzen de Sanjus</t>
  </si>
  <si>
    <t>vido S. M. conferir Subtenencias de bandera en el regimiento de infantería de Africa ‘á los Cadetes D. Antonio Garzen de Sanjus y D. Antonio Malagon; y,en el de Toledo al Guardia Marina de la Real armada D. Ramón Piedra Cueva. En América. El Rey se ha servido nombrar para una Canongía de la metropolitana de Sa</t>
  </si>
  <si>
    <t>Gascón, Miguel</t>
  </si>
  <si>
    <t>Miguel Gascón</t>
  </si>
  <si>
    <t>para la Prestamera de la villa de los Molares, en eL arzobispado de Sevilla , vacante por muerte de D. Miguel Gascón, á D. Joseph de la Vega y Bolaño: para el Beneficio simple servidero de la parroquia de Santa Cecilia de Medellinren el obispado de Plasencia, vacante por muerte de D.Ped ro Nuñez</t>
  </si>
  <si>
    <t>Gascoygne, General</t>
  </si>
  <si>
    <t>General Gascoygne</t>
  </si>
  <si>
    <t>la capital. Pues el mal está en los principios, convendrá no dexar que haga mayores progresos.” EP General Gascoygne pidió que se propusiese á los Ministros la qüestion de si sé tenia intención de renovar el bilí relativo al comercio con Malta, el quai estaba cerca de espirar: á lo^jue el Cancil</t>
  </si>
  <si>
    <t>de derechos de entrada y salida que el comercio pedia; pero apenas hubo hablado de esto, quando el General Gascoygne se levantó manifestando la sorpresa de que los Ministros perseverasen en ocultar enteramente á la Cámara el conocimiento del estado de las negociaciones con Francia, dexando á la</t>
  </si>
  <si>
    <t>l Secretario de la Guerra, que se examinase el bilí sobre las fuerzas adicionales de la Irlanda. Él General Gascoygne hizo algunas observaciones desaprobando las opiniones manifestadas por su amigo Mr. Windham , relativamente al exército de reserva, por quanto pueden causar desaliento en el inter</t>
  </si>
  <si>
    <t>Gascoyne, General</t>
  </si>
  <si>
    <t>General Gascoyne</t>
  </si>
  <si>
    <t>en estado de caer sobre él en un punto determinado, de modo que sea completamente derrotado.---- El General Gascoyne se lamenta del lenguage pusilánime con que se expresó Mr. Crauford en los debates anteriores, aludiendo á la posibilidad de que el enemigo se apodere de nuestra capital, y á la su</t>
  </si>
  <si>
    <t>us nombres sirvan de exémplo á la posteridad, insertándolos en los papeles públicos.'’ ■ ' ;ts &gt; El General Gascoyne dixo que esperaba que la propuesta queJse acababa de leer pasaria sin contradicción: que su opinión coincidía con.1¿ de su honorable amigo, y que solo tenia una cosa que advertir.</t>
  </si>
  <si>
    <t>Gasin</t>
  </si>
  <si>
    <t>no habiendo comparecido á usar del traslado qué tienen pendiente en dichos autos D. Antonio Garly , Mr. Gasin,como apoderado de D. Antonio Horme Salet, Doña Vicenta Gomet, como heredera de D. Juan Bautista 'Fabrega, Doña Isabel de la Plaza y Doña María Magdalena Chipa , como viuda» y here</t>
  </si>
  <si>
    <t>Gassini, Conde</t>
  </si>
  <si>
    <t>Conde Gassini</t>
  </si>
  <si>
    <t>brado al Chambelán Conde Buturlin , Enviado extraordinario cerca del Pontífice Romano. El Consejero Conde Gassini &gt; que se h^lla en Roma Encargado de negocios , tiene orden de permanecer en la misma ciudad en calidad de Consejero delegación___ También ha nombrado al Chambelán Conde de Maltlz</t>
  </si>
  <si>
    <t>Gastagalza, Manuel</t>
  </si>
  <si>
    <t>Manuel Gastagalza</t>
  </si>
  <si>
    <t>miento nuevo para forte-piano , que contiene 6 contradanzas violentas , un minuete y una parcha, de D. Manuel Gastagalza, Organista en la villa de Oñate. SUPLEMENTO</t>
  </si>
  <si>
    <t>Gatell, Antonio</t>
  </si>
  <si>
    <t>Antonio Gatell</t>
  </si>
  <si>
    <t>, diócesis de Tarragona, baxo la invocación de S. Miguel, extramuros , vacante por fallecimiento de D. Antonio Gatell, á D. Joseph Valdocera: para otro Beneficio simple , llamado Priorato, en la parroquial del lugar de la Liacuna, diócesis de Barcelona, vacante por muerte de D. Esteban Santaló, á</t>
  </si>
  <si>
    <t>Gauler, Pedro</t>
  </si>
  <si>
    <t>Pedro Gauler</t>
  </si>
  <si>
    <t>Dorna tercera de la parroquial de Castellón de Ampurias, diócesis de Gerona, vacante por muerte de D. Pedro Gauler, á D. Luis García Conde. £1 Bey se ha servido conferir el empleo de Ayudante de la compañía de la Real Guardia de Alabarderos al Teniente Coronel D. Joseph de Beve, Capitán del re</t>
  </si>
  <si>
    <t>Gautherot Iva</t>
  </si>
  <si>
    <t>27 de mucho diámetío. El ciud. Gautherot Iva anunciado que la platina es ménos conductor del ftuído galvánico que el hierro.—Las aplicaciones del galvanismo han presentado algunos resultados útiles, como</t>
  </si>
  <si>
    <t>Gavarre, Joseph</t>
  </si>
  <si>
    <t>Joseph Gavarre</t>
  </si>
  <si>
    <t>ero: en el de Sevilla á Teniente Coronel ai Comandante del tercer batallón de lás Ordenes Militares D. Joseph Gavarre: en el de Toledo á Teniente al Subteniente de granaderos D. Joseph Dionisio Ximenez: en el de Hibernia á Capitán al Teniente de granaderos, graduado de Capitán, D. Ulises Geoghega</t>
  </si>
  <si>
    <t>Gave, Ramón</t>
  </si>
  <si>
    <t>Ramón Gave</t>
  </si>
  <si>
    <t>ucocq; y en el de Cantabria Subtenencia de bandera ai Sargento primero de granadero* del de Ñápeles D. Ramón Gave.</t>
  </si>
  <si>
    <t>Gavino de Zequeyra, Rafael</t>
  </si>
  <si>
    <t>Rafael Gavino de Zequeyra</t>
  </si>
  <si>
    <t>de granaderos al de fusileros D. Joaquín Horruitiner; á Tenientes á los Subtenientes de granaderos D. Rafael Gavino de Zequeyra y D.Ignacio Loysel; á Subtenientes de granaderos á los de fusileros D. Francisco Acosta y D. Ramón Castellanos; á Subtenientes de compañía á los de bandera D. Gabriel O-Rian, D. Marti</t>
  </si>
  <si>
    <t>Gavino Zequeyra, Rafael</t>
  </si>
  <si>
    <t>Rafael Gavino Zequeyra</t>
  </si>
  <si>
    <t>Viilers y D. Joseph Recio; ájSubte•iíiente-s;dq.&gt;gmaa&amp;etos 4; los- BeJusilevps D. Ramón Castillo ,,.D. Rafael Gavino Zequeyra y D. Ignacio Loysel; á Subtenientes, de compañía á Los de bandera D. Pedro Mor^ll, p. Gabriel Me noca!, D. Joseph de Córdoba y D. Manuel González, y á.Subtenientes de bandera á los Ca</t>
  </si>
  <si>
    <t>Gayar, Luis</t>
  </si>
  <si>
    <t>Luis Gayar</t>
  </si>
  <si>
    <t>nte , D. Antonio Gayarre y D. Francisco LadeVese, los tres primeros Luis Dáunoy j D. Luis Bóuiigny; D. Luis Gayar re y D Cirilo Demorant, los Cadetes D. Francisco M'óréjori , D. Francisco Duvreüiil, Don Juan Domínguez, D. Félix Forstáll , D. Pedro Reggio y1 D. Cátlos Rcggio, y los Sargentos p</t>
  </si>
  <si>
    <t>Gayarre, Antonio</t>
  </si>
  <si>
    <t>Antonio Gayarre</t>
  </si>
  <si>
    <t>D. Francisco Garreli, Don1 Francisco de Hévia, P- Vicente Fernandez Texero, graduado de Teniente , D. Antonio Gayarre y D. Francisco LadeVese, los tres primeros Luis Dáunoy j D. Luis Bóuiigny; D. Luis Gayar re y D Cirilo Demorant, los Cadetes D. Francisco M'óréjori , D. Francisco Duvreüiil, Don Juan</t>
  </si>
  <si>
    <t>Gemmir de Lleonart, Juan</t>
  </si>
  <si>
    <t>Juan Gemmir de Lleonart</t>
  </si>
  <si>
    <t>bispado. ' También se ha servido S. M. conferir la Tenencia de Rey de la plaza de Cuba al Brigadier D. Juan Gemmir de Lleonart, Coronel del regimiento de infantería de Cuba: y ha nombrado S. M. Subteniente y Alférez de la compañía Urbana de caballería del partido de Alvarez , en aquella isla, á D. Francis</t>
  </si>
  <si>
    <t>General Cesar Bertier, Capitán</t>
  </si>
  <si>
    <t>Capitán General Cesar Bertier</t>
  </si>
  <si>
    <t>84c mas británicas al mando del General Grinfield.__Viendo el Capitán General Cesar Bertier que era inútil toda resistencia, propuso capitular, lo que inmediatamente se acepto, y el i.° de Julio los ingleses ocuparon el fuerte Scarborough, y tornaron posesión de la isla.</t>
  </si>
  <si>
    <t>General de Cataluña, Capitán</t>
  </si>
  <si>
    <t>Capitán General de Cataluña</t>
  </si>
  <si>
    <t>yno de Valencia, con la Presidencia de su Real Audiencia, al Teniente General D. Domingo Izquierdo, Capitán General de Cataluña; y ha nombrado S. M, para esta resulta, con la Presidencia también de aquella Real Au</t>
  </si>
  <si>
    <t>General del Principado de Cataluña, Capitán</t>
  </si>
  <si>
    <t>Capitán General del Principado de Cataluña</t>
  </si>
  <si>
    <t>toca. Dios guarde á V. E. muchos años. San Lorenzo 16 de Noviembre de 1803. — Pedro Gevallos. = Sr. Capitán General del Principado de Cataluña.’’;___Es preciso proclamar que no existe un Soberano mas piadoso, ni mas confiado en la lealtad de sus vasallos catalanes ,-en cuyas manos, por medio de la Real Junta de Caridad,</t>
  </si>
  <si>
    <t>General y Arzobispo, Capitán</t>
  </si>
  <si>
    <t>Capitán General y Arzobispo</t>
  </si>
  <si>
    <t>etas, y de Orea. . Estampa en pliego de marca del retrato pintado por Ribalta del B. Juan de Ribera,Capitán General y Arzobispo de la ciudad de Valencia, grabado por M. G. Se hallará en las librerías de Campo, calle de Alcalá, de Escribano, calle dé las Carretas, y en Valencia en la de Minguet.,, ...............</t>
  </si>
  <si>
    <t>General y Gobernador, Capitán</t>
  </si>
  <si>
    <t>Capitán General y Gobernador</t>
  </si>
  <si>
    <t>de nuestros Católicos Monarcas, Excmos. Sres. Generalísimo Príncipe de la Paz y Ministro de Marina, Capitán General y Gobernador del departamento, por su orden y debida proporción, con varios emblemas y geroglílicos. En el campo de la misma iglesia se formó una plaza artificial de arcos y ramage, y en paralelo con</t>
  </si>
  <si>
    <t>Generale Dessaix</t>
  </si>
  <si>
    <t>te los otros dos que se ha,ñ establecido cerca de Kell y Brisac, en honor délos Generales Dessaix y . Beaupuy, se han construido con aprobación del gobierno por orden, del General ,Moreau. Berna 30 de Diciembre. ■ \E 1 Emperador de Alemania ha dado parte al g</t>
  </si>
  <si>
    <t>Generale Dessoles</t>
  </si>
  <si>
    <t>nstancias de la presencia de SS. MM. Suecas. -y. Uannóvrr iS de Setiembre. JLos Generales Montrichard y Dessoles pasan del exercito del General Mortier al de Italia.</t>
  </si>
  <si>
    <t>Generale Dumas</t>
  </si>
  <si>
    <t>á Brujas y de Brujas á Ostende. De un momento á otro se esperan eia Gante á los Generales Dumas y d’Avoust y á otros oficiales superiores ; y en pocos dias á los del palacio consular encargados de disponer los p reparativos piara recibir al primer Cónsul, que</t>
  </si>
  <si>
    <t>Generale Malheroe</t>
  </si>
  <si>
    <t>de baxeles que tenemos listos para aparejar en nuestro puerto asciende 250. Los Generales Malheroe y René han pasado hoy revista á las tropas de la guarnición; y es de presumir que se embarque dentro de pocos dias en los buques de la flotilla que han entrado en est</t>
  </si>
  <si>
    <t>Generale Montrichard</t>
  </si>
  <si>
    <t>o un cuerpo de tropas* de cuyo estado mayor es xefe. También han llegado ya los Generales Montrichard, Laurent, Frere, Drouet y Snee, y muchos oficiales ingenieros. Se dice que el General Mortier mandará las tropas reunidas en Gueldres. Nimega iñ de Mayo. L as</t>
  </si>
  <si>
    <t>Generale Príncipe de Schwarzenberg</t>
  </si>
  <si>
    <t>nto de Minkendoríf. Este campamento constará de quatro cuerpos mandados por los Generales Príncipe de Schwarzenberg, Príncipe de Lichtenstein, Conde de Meerfeldt, y Archiduque Fernando., ; .s A \ Mnnü h gr. de Agosto. \ ■ C A.-:,! , orno uno de los, principios que mas realza</t>
  </si>
  <si>
    <t>Generale René</t>
  </si>
  <si>
    <t>Gensse</t>
  </si>
  <si>
    <t>como para las artes. El primer Cónsul ha admirado igualmente el orden que reynaba en ios obradores; Mr. Gensse ha sometido ios obreros á sabios reglamentos, y exerce una administración*’tan firme como paternal sobre la^multítud de personas qué emplea. La buena administración es tan necesar</t>
  </si>
  <si>
    <t>Geoffroy</t>
  </si>
  <si>
    <t>á la elección de los oficios. El ciud. Delattre fue elegido Presidente , y los ciudadanos Geoffroy , Dubourg , Y^aublanc y óerviez Secretarios. Entonces el Cuerpo legislativo se declaró definitivamente constituido , y decretó que esta declaración se comunica</t>
  </si>
  <si>
    <t>Geofroy</t>
  </si>
  <si>
    <t>z Fuentenebro, calle de las Carretas. La Higiene, ó el Arte de conservar la salud, poema latino del Dr. Geofroy, Regente que filé de la facultad de medicina de la universidad de París &amp;c.: traduducído al francés por el Dr. Launay, y libremente al castellano por el Dr. D. Joaquín Serrano Man</t>
  </si>
  <si>
    <t>Georgiana María, Princesa</t>
  </si>
  <si>
    <t>Princesa Georgiana María</t>
  </si>
  <si>
    <t>de Estado y muchos Secretarios para despachar los negocios urgentes. Al tiempo de subir ai coche la Princesa Georgiana María para ir, según decia, á Petersburgo, mató de una puñalada al General LasarofF, comandante de las tropas rusas en Grusinia. En ese mismo instante tiró la hija de la Princesa á dar</t>
  </si>
  <si>
    <t>Gerard, Juan</t>
  </si>
  <si>
    <t>Juan Gerard</t>
  </si>
  <si>
    <t>de esta corte. Tratado completo de aritmética , ó método para aprender á contar por principios, por D. Juan Gerard , presbítero: segunda impresión, en que se ha aumentado un, tratadito de monedas extrangeras y su correspondencia con las nacionales. Se hallará en la librería de Perez y compañía</t>
  </si>
  <si>
    <t>Gerig, Manuel</t>
  </si>
  <si>
    <t>Manuel Gerig</t>
  </si>
  <si>
    <t>tonio Pedotty y al Capitán segundo D. Juan Waltispiihl; á Capitán segundo al Teniente de granaderos D, Manuel Gerig; ¿Ayudante al Teniente D. Fidel de Reding, y á Tenientes á los Subtenientes D. Joseph Kayser, de granaderos, y D. Baltasar Zeberg; y á Subteniente en el de Cour^en al Cadete D. Ma</t>
  </si>
  <si>
    <t>Gerton y Ricarte, Carlos</t>
  </si>
  <si>
    <t>Carlos Gerton y Ricarte</t>
  </si>
  <si>
    <t>^ Quien supiere del paradero actual , ó pueda dar alguna noticia de Dona ' Joseph a. Roe!, viuda de D. Carlos Gerton y Ricarte,.vecino que fué de esta corte , la .• _ ^ „ A• I ._7* / 1 11 1 T 1. J„ JA que Apóstol' de* la ciudad de Santiago de Galicia , á quien ie interesa como cumplidor testamentario de l</t>
  </si>
  <si>
    <t>Gervais, Almirante</t>
  </si>
  <si>
    <t>Almirante Gervais</t>
  </si>
  <si>
    <t>o levantar un cuerpo de marineros para tripular los baxeles que guardan nuestras costas. —-El V.ice-Almirante Gervais ha enarbolado su pabellón en el baxel el Herstetter que se halla en Pampus.__ De 8 dias á esta parte ha tomado todo un aspecto guerrero, así en nuestros puertos, como en las plaza</t>
  </si>
  <si>
    <t>Gervasio Fernández Izquierdo</t>
  </si>
  <si>
    <t>omas de Sancha. Por la audiencia del expresado Sr. Teniente Corregidor y escribanía del núiiiero de D. Gervasio Fernández Izquierdo , se está subastando úna casa sita en esta corte , en la calle de Sta. Isabel '/núm. 1 yman'z. 24, que tiene de sirio;6424f pies, y está tasada; en t.3 3^049 rs. Quien quisiere’ h</t>
  </si>
  <si>
    <t>Ghristóbai de la Esquina</t>
  </si>
  <si>
    <t>l: para otro simple servidero de la villa del Mirón, en la diócesis de Avila, vacante por muerte de Don Ghristóbai de la Esquina , á D. Bartolomé Herreros: para las PreStameras de Constanzana y -S» Vicente, en la misma diócesis de Avila, vacantes por fallecimiento de D. Cosme García Parro, á D. Gregorio Lóp</t>
  </si>
  <si>
    <t>Ghristóhai de Vicuña</t>
  </si>
  <si>
    <t>icente Torres, del Consejo de S¿ M., Teniente Corregidor de esta villa r y escribanía del número de D. Ghristóhai de Vicuña, se vende un Título de Castilla : quien quisiere hacer postura acuda ante dicho Señor 7 escribanía, que le serán admitidas siendo arregladas, dentro de 30 dias, contados desde 29</t>
  </si>
  <si>
    <t>Giglioti, Luis</t>
  </si>
  <si>
    <t>Luis Giglioti</t>
  </si>
  <si>
    <t>tandarte DvJpséph;Frásiiedo:: en el de cazadores del Rey Compañía al Ayudante, graduado dé Capitán, D. Luis Giglioti; Tenencia al Alférez D. Eustasio Albornoz , y él empleo de Alférez al Cadete D. Joseph Velez: en el de cazadores de Pa-V vía Tenencia ál Alférez D. Luis lriarte: en el de cazadore</t>
  </si>
  <si>
    <t>Giiemes, Juan</t>
  </si>
  <si>
    <t>Juan Giiemes</t>
  </si>
  <si>
    <t>anuel Machuca: para un Beneficio sito en el término de Porquera de Santullan, vacante por muerte de D. Juan Giiemes, á D. Ramón Braña y Martínez , Cura del lugar de Nava de Santullan, en la diócesis de Burgos: para otro Beneficio simple del lugar de Santa María de Mercadillo, de la misma dióces</t>
  </si>
  <si>
    <t>Gil de Bernabé, Francisco</t>
  </si>
  <si>
    <t>Francisco Gil de Bernabé</t>
  </si>
  <si>
    <t>detes del de Reales Guardias Españolas D. Francisco de Paula Landa, D. Joseph Angulo y Santa María, D. Francisco Gil de Bernabé, D. Antonio Vázquez de Aldana y del Aguila, D. Diego Estrada, D. Francisco de Paula Espinosa de los Monteros y D. Gabriel Narciso Pantoja. Y en los de infantería de Sabóya, Extrem</t>
  </si>
  <si>
    <t>Gil de Tejada, Pedro</t>
  </si>
  <si>
    <t>Pedro Gil de Tejada</t>
  </si>
  <si>
    <t>xara. D. Isidoro García Plaza. En Jaén...............D. Pedro y Juan Esponera. En León............. D. Pedro Gil de Tejada. En Malaga... ...%. D. Antonio Mariano. En Murcia..........Sres. Moreda y Ladalid. , Eti Oviedo............ D. Manuel Rubiano. En Patencia.........D. Nicolás Calonge é hijo. En Pa</t>
  </si>
  <si>
    <t>. Isidoro García Plaza. En Jaén............... D. Pedro y D. Juan Esponera. En León.................D. Pedro Gil de Tejada. En Málaga...........D. Antonio Mariano. , En Mahon.............Doña Catalina Guzman y Hugalde. En Murcia............Sres. Moreda y Ladalid. En Oviedo........... D. Manuel Rubiano</t>
  </si>
  <si>
    <t>sidoro García Plaza. En Jaén..................D. Pedro y D. Juan Esponera. En León..................D. Pedro Gil de Tejada. En Málaga............D. Juan Ximeno. En Mahon.............. Doña Catalina Germán y Hugalde* En Murcia............. Sres. Moreda y Ladalid. En Oviedo............... D. Manuel Rubi</t>
  </si>
  <si>
    <t>Gil Montalvo</t>
  </si>
  <si>
    <t>ileros en los de Valladolid y Avila, á D. Gerónimo Garda Frayle, Capitán reformado del primero, y á D. Gil Montalvo, Teñí ente del segundo: á Teniente de granaderos en el de Mondoñedo al de fusileros D. 1 omas Freyre:á Tenientes de fusileros en los de Murcia, Granada, Chinchilla, Córdoba, Cuenc</t>
  </si>
  <si>
    <t>Gil Pasqueda</t>
  </si>
  <si>
    <t>dicha catedral de Menorca, vacante por promoción de D. Juan Bautista Cárlos á otra de la de Osma, á D. Gil Pasqueda: para otra de la catedral de Canaria, que vacó por fallecimiento de D. Nicolás Viera y Clavijo, á D. Joseph Francisco Borbujo: para otra de la colegial de Cardona, ditScesis de So</t>
  </si>
  <si>
    <t>Gil Polo, Gaspar</t>
  </si>
  <si>
    <t>Gaspar Gil Polo</t>
  </si>
  <si>
    <t>lipe,en pasta á 10 rs. La Diana enamorada, compuesta en 5 libros por el célebre Gaspar Gil Polo, natural de Valencia : un tomo en 12.0 Se hallará en las librerías de Gómez Fuentenebro, calle de las Carretas, y de la viuda de Cerro, calles de Alcalá y de la Montera. Instrucción metódi</t>
  </si>
  <si>
    <t>Gil y Garcés, Martín</t>
  </si>
  <si>
    <t>Martín Gil y Garcés</t>
  </si>
  <si>
    <t>gía de la metropolitana de Santa Fe, vacante por fallecimiento de D. Francisco del Campo y Rivas, á D. Martin Gil y Garcés, Racionero mas antiguo de ella; y para esta resulta á D. Luis Fernando Sarmiento , Cura de Ocamonte , en dicho arzobispado. ' También se ha servido S. M. conferir la Tenencia de R</t>
  </si>
  <si>
    <t>Gines, Manuel</t>
  </si>
  <si>
    <t>Manuel Gines</t>
  </si>
  <si>
    <t>Rey á Teniente al Subteniente de granaderos D. Manuel Gines: en el de España á Capitán al Ayudante, graduado de Capitán, D. Pedro Rodríguez: en el batallón de Voluntarios de Tarragona á Teniente al Subteniente D. Joseph Algué; y en el segu</t>
  </si>
  <si>
    <t>Ginesta, Agustín</t>
  </si>
  <si>
    <t>Agustín Ginesta</t>
  </si>
  <si>
    <t>30 rs. en rústica y 34 en pasta, y los quadernos sueltos á 4\ rs. El Conservador de Jos niños, por D. Agustín Ginesta, Cirujano de Cámara de S. M. = Amenidades filosóficas: esta ob.ra contiene muy útiles y sabios documentos para instrucción y gobierno de toda clase de personas. Se hallarán en la</t>
  </si>
  <si>
    <t>entos necesarios, como ya lo han executado muchos. ' \ 'Y .-.ji* ‘ El Conservador de los niños, por D. Agustín Ginesta,- Cirujano de Cámara de S. M. y Catedrático de partos y enfermedadés dé mñgeres y niños del Real colé-' gio de cirugía de S. Carlos de esta corte. Esta obrita reúne en sí los prec</t>
  </si>
  <si>
    <t>Gineti, Luis</t>
  </si>
  <si>
    <t>Luis Gineti</t>
  </si>
  <si>
    <t>. Diego Pizarro ; á Subtenientes de granaderos al de fusileros D. Ramón Valldejuli, y al de bandera D. Luis Gineti; á Subtenientes á los de bandera D. Salvador de Valldejuli y D. Joseph Arnau , los Cadetes D. Buenaventura Ayesa y D. Manuel del Coro , y los Sargentos primeros de granaderos D. L</t>
  </si>
  <si>
    <t>Girón y Coca, Gabriel</t>
  </si>
  <si>
    <t>Gabriel Girón y Coca</t>
  </si>
  <si>
    <t>astro y Espejo, vacante en ei obispado de Córdoba por fallecimiento de D. Juan Antonio del Peral, á D. Gabriel Girón y Coca, con precisa y personal residencia, y con Ja aplicación de la quarta parte de su producto á favor de los Guias de. Castro del Rio, de aquella diócesis: para otro de la parroquial</t>
  </si>
  <si>
    <t>Gisbert, Gaspar</t>
  </si>
  <si>
    <t>Gaspar Gisbert</t>
  </si>
  <si>
    <t>imero de granaderos D. Manuel Devis: en el de Hibernia á Ayudante al Teniente, graduado de Capitán, D. Gaspar Gisbert: en ei de la Princesa á Subteniente de bandera al Capitán que fue del extinguido de Nobles de Asturias D. Joseph Alvarez Nava: en él de Málaga á Subteniente de bandera al Sargento</t>
  </si>
  <si>
    <t>Gobernador Jamen</t>
  </si>
  <si>
    <t>tan crecida guarnición, como que han quedado todos los icS hombres que llevó el Gobernador Jamen, no habiendo permitido las circunstancias sepaf lar los destacamentos destinados á la India. Deseoso el gobierno de extinguir para siempre las viruelas ha seña</t>
  </si>
  <si>
    <t>Gobernador Mr</t>
  </si>
  <si>
    <t>ros de las autoridades constituidas, y los principales déla ciudad, en casa del Gobernador Mr. Calichiopolo ,donde después de hablarles de quanto se interesaba en su felicidad el primer Cónsul, les exhorte en su nombre á deponer el espíritu de partido q</t>
  </si>
  <si>
    <t>Godard</t>
  </si>
  <si>
    <t>la tarde en la casa de villa, donde recibió las autoridades constituidas; y el ciud. Godard, Sub-Prefec^o, le manifestó que el Consejo municipal de aquella ciudad creía no poder celebrar mejor el viage del primer Cónsul por esta ciudad ,’ sino votando</t>
  </si>
  <si>
    <t>Godofredo Ebertz, Juan</t>
  </si>
  <si>
    <t>Juan Godofredo Ebertz</t>
  </si>
  <si>
    <t>ente de fusileros de este regimiento ; y para la Tenencia de la tercena compañía del mismo cuerpo á D. Juan Godofredo Ebertz, SubtenienI te de granaderos del citado regimiento. En el de Betschart ha promovió do S. M. á Capitán primero de fusileros al Capitán de granaderos , gra^ duado de. Teniente Coron</t>
  </si>
  <si>
    <t>Godoy, Francisco</t>
  </si>
  <si>
    <t>Francisco Godoy</t>
  </si>
  <si>
    <t>icios: para la obtención de los tres premios mayores de á 55 pesos cada uno i. D. Timoteo Higueras, D. Francisco Godoy y D. Simón Sánchez; y para los otros tres de á 35 pesos también cada uno, á D. Jpseph Antonio García, Don Francisco López y D. Domingo Barona. Mas como lax comisión no pudo prescindir</t>
  </si>
  <si>
    <t>Gohier</t>
  </si>
  <si>
    <t>rminó que la tercera lectura se haria al dia siguiente. - Haya de Diciembre. ll ciud. Gohier, nombrado por el gobierno francés Comisario de los negocios comerciales en Amsterdam, ha llegado á esta ciudad , donde ha sido reconocido en su nueva calidad p</t>
  </si>
  <si>
    <t>Goking Presidente</t>
  </si>
  <si>
    <t>inuaria gozando los mismos honores y privilegios que ántes. Há sido nombrado el ciud. Goking Presidente del gobierno para los meses de Mayo, Junio y Julio. Berg-op Zoont 1$ de Abril. rhl 22 de este mes se han puesto en marcha para Breda el primer batallón de la 76 me</t>
  </si>
  <si>
    <t>Golomina, Agustin</t>
  </si>
  <si>
    <t>Agustin Golomina</t>
  </si>
  <si>
    <t>Quixano: la Sargentía mayor del de Saboya al Capitán del de Navarra, graduado de Teniente Coronel, Don Agustin Golomina: la del de la Corona al Capitán del de Zaragoza, graduado de Teniente Coronel, D. Atanasio Salazar: la del de Africa al Capitán del de Zamora D. Pedro Cortes: ía del de Zamora al</t>
  </si>
  <si>
    <t>Gómez Clemente, Nicolás</t>
  </si>
  <si>
    <t>Nicolás Gómez Clemente</t>
  </si>
  <si>
    <t>illa de Monzon, diócesis de Lérida, vacante por renuncia que ha hecho de ella D. Felipe Cabiedes, á D. Nicolás Gómez Clemente: para el Beneficio servidero de la villa de Pozo Alcon, en la diócesis de Toledo, vacante por renuncia de D. Alexandro Bernardo Beltran, á D. Juan Antonio Segura: para otro Benefi</t>
  </si>
  <si>
    <t>Gómez Cornejo, Julián</t>
  </si>
  <si>
    <t>Julián Gómez Cornejo</t>
  </si>
  <si>
    <t>e Villalvilla, ambos en la diócesis de Cuenca, vacantes por muerte de D. Felipe Ortiz de ^alazar, á D. Julián Gómez Cornejo: para otro Beneficio de la parroquia de Belinchon, en el mismo obispado, vacante por fallecimiento dé V&gt;. Diego Antonio Rodríguez , á D. Joseph Múreos García: para otro de las tre</t>
  </si>
  <si>
    <t>Gómez de Barreda, Manuel</t>
  </si>
  <si>
    <t>Manuel Gómez de Barreda</t>
  </si>
  <si>
    <t>S. M. se ha servido promover á Alférez en el regimiento de caballería de Barbón al Portaestandarte D. Manuel Gómez de Barreda; y en el de -cazadores de Villaviciosa á Teniente al Alférez D. Diego Lechuga. Desde i.° del próximo Diciembre se recibirán en¡ la Tesorería mayo* y en las de exército las accione</t>
  </si>
  <si>
    <t>Gómez de Cosío, Ventura</t>
  </si>
  <si>
    <t>Ventura Gómez de Cosío</t>
  </si>
  <si>
    <t>es y Godoy: para el Arciprestazgo de Poblaciones, en el obispado de Falencia, vacante por muerte de D. Ventura Gómez de Cosío, á D. Andrés Alonso de San Pedro:.para la.Dignidad de Enfermero de la catedral de Pamplona, vacante por fallecimiento de D. Joaquin Zala , á D. Miguel María Daoiz: para la Dignida</t>
  </si>
  <si>
    <t>Gómez de Helguera, Joseph</t>
  </si>
  <si>
    <t>Joseph Gómez de Helguera</t>
  </si>
  <si>
    <t>s , = Abogado de los Reales Consejos, su hermano político, residente en la ciudad de Santander, y á Don Joseph Gómez de Helguera, Agente general de los cin.co gremios mayores de es*" ta corte, pues hay que comunicarle asuntos interesantesí Habiendo fallecido.en Ja ciudad de Zaragoza Qpña .Margarita Gránaos</t>
  </si>
  <si>
    <t>Gómez de la Cortina, Pedro</t>
  </si>
  <si>
    <t>Pedro Gómez de la Cortina</t>
  </si>
  <si>
    <t>ana de México, vacante por ascenso; de D. Juan An^ tomo Bruno á la Dignidad de Tesorero de ella , á D. Pedro Gómez de la Cortina, Medio+Radonero de la propia; y para una Ración de la catedral del Cuzco, vacante por fallecimiento de D. Juan Perales, á D. Ma* nuel de la Sótay Beingolea, Cura Vicario de la Doc</t>
  </si>
  <si>
    <t>en la misma diócesis i para una Media— Ración de la metropolitana de México, vacante por ascenso de D. Pedro Gómez de la Cortina á la Canongía Lectoral de ella, á D. Joseph María Alcalá, Gura del Sagrario de la misma catedral; y para otra de la catedral de la Havana, vacante por muerte de D. Ignacio Alarcon</t>
  </si>
  <si>
    <t>Gómez de la Serna, Manuel</t>
  </si>
  <si>
    <t>Manuel Gómez de la Serna</t>
  </si>
  <si>
    <t>l Teniente,graduado de Capitán, D. Joseph Fernandez , y ai Ayudante , graduado de Teniente Coronel, D. Manuel Gómez de la Serna; á Tenientes á los Subtenientes de granaderos D. Joseph María Albelda y D. Juan Nicolás de la Fuente, y á Subtenientes de bandera ai Sargento primero de granaderos D. Pedro Alexo</t>
  </si>
  <si>
    <t>Gómez de Medina, Pedro</t>
  </si>
  <si>
    <t>Pedro Gómez de Medina</t>
  </si>
  <si>
    <t>. Joseph Gregorio de la Bastida: para el Arcedianato de la catedral de Quito,’vacante por muerte de D. Pedro Gómez de Medina, al Maestrescuela D: Miguel de Unda: para la Maestrescclía al Tesorero D. Maximiliano Coronel: para la Tesorería al Canónigo D. Joaquih de Sotomayor: para esta Canongía á 'D. Lázá</t>
  </si>
  <si>
    <t>Gómez de Ro, Juan</t>
  </si>
  <si>
    <t>Juan Gómez de Ro</t>
  </si>
  <si>
    <t>olegial de Cervatos, en la diócesis de Burgos, vacante por fallecimiento de D. Joseph Villalobos, á D. Juan Gómez de Ro-&gt; bles: para la Ración de la catedral de Calahorra, vacante por muerte de IX Manuel Romero, á D. Diego Landivar: para el Beneficio del lugar de Palacios de Goda, en la diócesis de</t>
  </si>
  <si>
    <t>Gómez de Robles, Juan</t>
  </si>
  <si>
    <t>Juan Gómez de Robles</t>
  </si>
  <si>
    <t>e Cerbatos, diócesis de Burgos, vacante por fallecimiento de D. Francisco Antonio de. Caaipuzano, á D. Juan Gómez de Robles: para una Ración de la catedral de Palencia, vacante por promoción de D. Anselmo de Soto á una Canongía de la misma catedral* á D. Manuel Machuca: para un Beneficio sito en el tér</t>
  </si>
  <si>
    <t>IOÍO gía de la colegial de Cervatos, en la diócesis de Burgos, vacante por promoción de D. Juan Gómez de Robles á la Dignidad de Capiscol de la misma colegial, á D. Francisco Fernandez Mafízanedo: para otra de la catedral de Falencia, vacante por muerte de D. Joseph Diez Quijada y Ovejero,</t>
  </si>
  <si>
    <t>Gómez Robles, Juan</t>
  </si>
  <si>
    <t>Juan Gómez Robles</t>
  </si>
  <si>
    <t>: para el Préstamo de Matamorosa-vacante en la misma diócesis por muerte de D. Joseph Villalobos, á D. Juan Gómez Robles: para otro de Pesquera de Duero, en el obispado de Palencia, vacante por fallecimiento de D. Baltasar Carlos Miñano, á D. Juan García Perez: para el Arciprestazgo de Cebico de la</t>
  </si>
  <si>
    <t>Gómez Romero, Benito</t>
  </si>
  <si>
    <t>Benito Gómez Romero</t>
  </si>
  <si>
    <t>Carretas. i El Poema las Estaciones del año del ingles Thompson, traducido en verso castellano por D. Benito Gómez Romero, presbítero, se hallará solo en la librería de Ranz, calle de la Cruz, como asimismo la carta del traductor á los redactores del Memorial literario. ' Biblioteca nueva de los escr</t>
  </si>
  <si>
    <t>Gómez, Joaquín</t>
  </si>
  <si>
    <t>Joaquín Gómez</t>
  </si>
  <si>
    <t>h Urbina, Gobernador militar y político de Salamanca. En atención á las circunstancias y calidad de D. Joaquin Gómez, vecino del lugar de Ateca, reyno de Aragón, y á los servicios hechos á S. M. y al público , se ha servido concederle privilegio de hidalguía para sí, sus hijos y sucesores línea</t>
  </si>
  <si>
    <t>Gómez, Joseph</t>
  </si>
  <si>
    <t>Joseph Gómez</t>
  </si>
  <si>
    <t>Prado, Director de este cuerpo económico, D. Joseph Martínez de Mazas, Dean de esta santa Iglesia, D. Joseph Gómez, Arcediano de Jaén, D. Fernando de Aranda» Maestrante, y el esmero del mismo Secretario , que ha hecho presentes los ensayos de las expresadas comidas á la Runtford, hechos por un</t>
  </si>
  <si>
    <t>Gómez, Joseph Antonio</t>
  </si>
  <si>
    <t>Joseph Antonio Gómez</t>
  </si>
  <si>
    <t>y compañía. En Segovia........... Viuda de D. Joseph Manuel Ramiro y Martin. En Sevilla............D. Joseph Antonio Gómez é hijo. En Soria.............. D. Andrés Martinez de Aparicio. En Toledo............ Sres. Chavarri y Posadillo. En Toro............ D. Joseph Ligero. En Valencia....... D. Franci</t>
  </si>
  <si>
    <t>y compañía. En Segovia............Viuda de D. Joseph Manuel Ramiro y Martin. En Sevilla......... . D. Joseph Antonio Gómez é hijo. En Soria........ .......D. Andrés Martínez de Aparicio. En Toledo.............Sres. Chavarri y Posadillo, En Toro................. D. Joseph Ligero. En Valencia....... ;.</t>
  </si>
  <si>
    <t>mpañía. En Segovia............. Viuda de D. Joseph Manuel Ramiro y Martin. En Sevilla.............. D. Joseph Antonio Gómez é hijo. En Soria................ D. Andrés Martínez de Aparicio. En Toledo............... Sres. Chavarri y Posadillo. En Toro...................D. Joseph Ligero. En Valencia......</t>
  </si>
  <si>
    <t>Gómez, Juan</t>
  </si>
  <si>
    <t>Juan Gómez</t>
  </si>
  <si>
    <t>D. Francisco García Orozco, Don Juan de Dios Carcelen, D. Rodrigo González, D. Joseph de Aulestia, D. Juan Gómez, D. Rafael Sopranis y D. Diego Bobadilla: á Subtenientes de granaderos en los de Sigiienza, Alcázar y Laredo, á los de fusileros D. Fernando Barbaza, D. Joseph Andrés Villaseñor y</t>
  </si>
  <si>
    <t>Gómez, Manuel</t>
  </si>
  <si>
    <t>Manuel Gómez</t>
  </si>
  <si>
    <t>a Colección de autores latinos, entre los gramáticos: entre los de primeras letras Manuel Galindo y D. Manuel Gómez, de la clase del maestro D. Juan, Don Anastasio Costadoat y D. Francisco Romero y Cepeda , de la de D. Cosme , una banda cada uno azul y encarnada, con sello de la Sociedad bordad</t>
  </si>
  <si>
    <t>Gómez, Matías</t>
  </si>
  <si>
    <t>Matías Gómez</t>
  </si>
  <si>
    <t>otro de la par roquia de Fuentes de Valdeperp, diócesis de Palencia, vacante por fall/ .cimiento de D. Matías Gómez, á D. Angel Roxo Redondo: para otro simple de S. Christóbal el Real, territorio de la abadía de Samos, va^ cante por muerte de D. Nicolás Antonio Rodríguez, á D. Manuel Nu, ñez Bu</t>
  </si>
  <si>
    <t>Gómez, Matías Antonio</t>
  </si>
  <si>
    <t>Matías Antonio Gómez</t>
  </si>
  <si>
    <t>ón de la catedral de Popayan, vacante por renuncia que hizo de ella D. Joseph Matías de la Plaza, í D. Matías Antonio Gómez, Examinador Sinodal del referido obispado. En el regimiento de infantería de la Corona, de Nueva-España, se ha servido el Rey promover á Capitán al Teniente de granaderos D. André</t>
  </si>
  <si>
    <t>Gómez, Ramón</t>
  </si>
  <si>
    <t>Ramón Gómez</t>
  </si>
  <si>
    <t>l Rey, D. Christóbal Pomar y D. Joaquín Gómez, y k Tenientes á los Subtenientes D. Martin Zarandia, D. Ramón Gómez, Don Rafael Riesqh, D. Francisco Calderón y D. Luis Solana. . , Por la Superintendencia general de la Real Hacienda se ha -comunicado, fla dtfden siguiente: . El Señor Gobernador</t>
  </si>
  <si>
    <t>Gongora, Pedro</t>
  </si>
  <si>
    <t>Pedro Gongora</t>
  </si>
  <si>
    <t>ros al Subteniente de granaderos Don Hilario Figueroa ; á Subteniente de granaderos al de fusileros D. Pedro Gongora; á Subtenientes de bandera á los Cadetes D. Joseph Michelena y D. Joseph Frontaura , y á Ayudantes á los Tenientes destinados á servir en el exército de Puerto-Rico D. Francisco d</t>
  </si>
  <si>
    <t>Goñi, Diego Ignacio</t>
  </si>
  <si>
    <t>Diego Ignacio Goñi</t>
  </si>
  <si>
    <t>de la de Vhlena á D. Manuel Antonio Palacios: para el de la Vara de Alcalde mayor de la de Burgos á D. Diego Ignacio Goñi: para la de la de Plasencia á D. Santiago Nuñez Casqueyro ; y para el Corregimiento de la villa de Agreda, que este dexa, á D. Joseph Francisco Coll. En América. En el regimiento</t>
  </si>
  <si>
    <t>González Alameda, Antonio</t>
  </si>
  <si>
    <t>Antonio González Alameda</t>
  </si>
  <si>
    <t>iel Constantin. También ha nombrado S. M. para el Corregimiento de letras de la ciudad de Segovia á D. Antonio González Alameda: para el de la de Airó caraz á D. Joseph Miret: para el de la de Cuenca, que este dexa, á Don</t>
  </si>
  <si>
    <t>González Arnao, Vicente</t>
  </si>
  <si>
    <t>Vicente González Arnao</t>
  </si>
  <si>
    <t>pública , que celebró la expresada Academia el dia 21 de Julio de 1802 , por su individuo de número D. Vicente González Arnao : un quaderno en 4.0 marquilla. Se hallará con las demas obras de la Academia en su despacho , casa de la Panadería. Moyses considerado como legislador y moralista, por Mr. de Pas</t>
  </si>
  <si>
    <t>González de Bernedo, Ramón</t>
  </si>
  <si>
    <t>Ramón González de Bernedo</t>
  </si>
  <si>
    <t>rola. S. M. se ha dignado promover en el regimiento de infantería de Zaragoza á Capitán al Ayudante D. Ramón González de Bernedo: en el de Mallorca á Capitán al Teniente de granaderos, graduado de Teniente Coronel, D. Juan Chacón; y en el batallón de cazadores de Barbastro á Teniente al Subteniente I}. Geró</t>
  </si>
  <si>
    <t>González de Castro, Joaquín</t>
  </si>
  <si>
    <t>Joaquín González de Castro</t>
  </si>
  <si>
    <t>esada villa, y Oficial mayor de las escribanías del número y comisiones de la de Madrid, propias de D. Joaquín González de Castro, que lo es de la última. A voluntad de su dueño se vende una casa en esta corte, en la calle de S. Gregorio, barrios de S. Francisco, núm. 5 , manz. 107, con 946^ de sitio, tasada</t>
  </si>
  <si>
    <t>González de Flores, Pedro</t>
  </si>
  <si>
    <t>Pedro González de Flores</t>
  </si>
  <si>
    <t>lez Moreno; esta resulta al Teniente D. Martín Coronado; la Tenencia que este servia al Subteniente D. Pedro González de Flores, y la Subtenencia que este dexa al Cadete D. Vicente González. En el regimiento de dragones de España, fixo de México, se ha servido S. M. promover á Tenientes á los Alféreces D.</t>
  </si>
  <si>
    <t>González de la Portilla, Joseph</t>
  </si>
  <si>
    <t>Joseph González de la Portilla</t>
  </si>
  <si>
    <t>a, vacante por ascenso de D. Nicolás Vicente de Esterripa al Beneficio del Prado de. Ciudad Real, á D. Joseph González de la Portilla; para el áb Rioseco, en el obispado de Palencia., vacante por muerte de D. Miguel. Santiago, .á D. Tomas Marchen: para la Media-Ración que obtenía en la catedral de Cuenca D. Pedr</t>
  </si>
  <si>
    <t>González de Menchaca, Joaquín</t>
  </si>
  <si>
    <t>Joaquín González de Menchaca</t>
  </si>
  <si>
    <t>la á D; Juan de Becerril, Teniente Coronel reformado' del mismo cuerpo: á Sargento mayor del deTuyá D. Joaquín González de Menchaca, Capitán del regimiento de infantería de Guadalaxara: á igual empleo del de Ciudad-Rodrigo al Teniente Coronel D. Agustín Caminero, agregado en la misma clase al-de Valladolid: á</t>
  </si>
  <si>
    <t>González de Orduña y Zarzosa, Joseph</t>
  </si>
  <si>
    <t>Joseph González de Orduña y Zarzosa</t>
  </si>
  <si>
    <t>uerque, ep la diócesis de Badajoz, vacante por ascenso de D. Juan Carballar á otro de Chinchilla, á D. Joseph González de Orduña y Zarzosa. ‘ En el Real cuerpo de Artillería ha promovido S. M. á Capitán primea ro al Capitán segundo D. Ignacio^de Vargas; á Ayudante mayorla l-Ca^ pitan segundo D. Joseph Ruiz de Alcalá;</t>
  </si>
  <si>
    <t>González del Campillo, Manuel Ignacio</t>
  </si>
  <si>
    <t>Manuel Ignacio González del Campillo</t>
  </si>
  <si>
    <t>vacante por fallecimiento de D. Salvador Biempica y Sotomayor, al Arcediano de dicha santa iglesia D. Manuel Ignacio González del Campillo. • El Banco nacional de S. Carlos continuará las sesiones de la Junta general el sábado 14 de este presente mes á las 9 de la mañana; lo que avisa á los accionistas, advirtiéndole</t>
  </si>
  <si>
    <t>atedral.de la Puebla de los Angele? * vacante .por .haber si-t do nombrado Obispo de dicha diócesis D. Manuel Ignacio González del Campillo, á D. Joseph Ortiz de la Peña, Chantre de la misma catedral; para esta Dignidad ¿1 Maestrescuela D. Juan de Dios de Olmedo y Araciel; para la Maestrescolía al Tesorero D. Juan Vic</t>
  </si>
  <si>
    <t>González Herrero, Manuel</t>
  </si>
  <si>
    <t>Manuel González Herrero</t>
  </si>
  <si>
    <t>vacante por promoción de D. Joaquín Queypo de Llano al Arcedianato de Cea de la catedral de León, á D. Manuel González Herrero: para la Ración que este obtiene en la misma iglesia de Zamora, y resultará vacante, á D. Marcelino Sánchez Rangel: para el Arciprestazgo de C-ejanza , en el arzobispado de Burgos</t>
  </si>
  <si>
    <t>González Laso Santos de San Pedro, Joseph</t>
  </si>
  <si>
    <t>Joseph González Laso Santos de San Pedro</t>
  </si>
  <si>
    <t>Enero de este año falleció en la ciudad de Plasencia, á los 75 años y 9 meses de edad, el limo. Sr. D. Joseph González Laso Santos de San Pedro: fue colegial mayor en el de Oviedo de Salamanca, Doctoral de la santa iglesia de Plasencia, Dean, Gobernador , y 37 años Obispo de la misma. Desde los primeros de su cargo pastor</t>
  </si>
  <si>
    <t>González Laso Santos, Joseph</t>
  </si>
  <si>
    <t>Joseph González Laso Santos</t>
  </si>
  <si>
    <t>E 1 Rey se ha servido nombrar para el'Obispado dePlasencía, vacante por fallecimiento del limo. Srv D. Joseph González Laso Santos de rSan.Pedro , al limo. Sr. D. Lorenzo Igual de Soria, Obispo de Pamplona; y para el de Jaca, vacante por muerte del R. ,D. Fj. Joseph Antonio López Gil, al R. P.Er. Lorenzo Alaguer</t>
  </si>
  <si>
    <t>González Martorell, Juan</t>
  </si>
  <si>
    <t>Juan González Martorell</t>
  </si>
  <si>
    <t>regimiento de infantería de Saboya sé ha servido promover él Rey á Teniente al Subteniente agregado D. Juan González Martorell: en el de Soria á Subteniente de bandera al Cadete D. Mariano Luis Montaner: en el.de Aragón á Capitán al Ayudante, graduado de Capitán, Don Lorenzo de Sierra, y á Subteniente de</t>
  </si>
  <si>
    <t>González Moreno, Francisco</t>
  </si>
  <si>
    <t>Francisco González Moreno</t>
  </si>
  <si>
    <t>conferir el empleo de Capitán del cuerpo veterano de infantería de Guayana al Ayudante mayor de él D. Francisco González Moreno; esta resulta al Teniente D. Martín Coronado; la Tenencia que este servia al Subteniente D. Pedro González de Flores, y la Subtenencia que este dexa al Cadete D. Vicente González.</t>
  </si>
  <si>
    <t>l empleo de Capitán del cuerpo veterano de infantería de Cumaná al Ayudante mayor del prepio cuerpo D. Francisco González Moreno; esta resulta al Teniente D. Martin Coronado ; la Tenencia qtte este dexa al Subteniente D. 1 ecro González de Flores, y^ la Subtenencia que por su ascenso resulta al Sargento D.</t>
  </si>
  <si>
    <t>González Nava y Doña' Rafaela González Doria, Diego</t>
  </si>
  <si>
    <t>Diego González Nava y Doña' Rafaela González Doria</t>
  </si>
  <si>
    <t>o de este año se ha mandado citar y llamar por edictos y pregones, y por medio de gazeta , i dichos D. Diego González Nava y Doña' Rafaela González Doria , su muger , ó á sus herederos y sucesores , á fin de que comparezcan en dichos autos á usar de su derecho*, y para que llegue á su noticia se da este aviso con término de dos mes</t>
  </si>
  <si>
    <t>González Nava y Rafaela González Doria, Diego</t>
  </si>
  <si>
    <t>Diego González Nava y Rafaela González Doria</t>
  </si>
  <si>
    <t>Real Hacienda de una parte; y de la otra los estrados del mismo Consejo por ausencia y rebeldía de D. Diego González Nava y Doña Rafaela González Doria, su muger , vecinos de la ciudad de Sevilla , sobre pago de cantidad de maravedises por los derechos de alcabalas y cientos , devengados en la venta que hicieron de una hacienda d</t>
  </si>
  <si>
    <t>González Pinera, Francisco</t>
  </si>
  <si>
    <t>Francisco González Pinera</t>
  </si>
  <si>
    <t>a colegial: para otra de la colegial de Covadonga, diócesis de Oviedo, vacante por fallecimiento de D. Francisco González Pinera, á D. Sebastian Francisco de Junco, Cura de S. Justo y Pastor en la Riera y Coto de Covadonga: para otra de la colegial de Valpuesta, diócesis de Burgos, vacante por renuncia que</t>
  </si>
  <si>
    <t>González Rodríguez</t>
  </si>
  <si>
    <t>venidas en Italia. (Se concluirá.) Puebla de Sanabria i(í de Mayo* D on iVlonso González Rodríguez, vecino distinguido de la Puebla de Sanabria, aprovechando cierta proporción que tuvo en el año anterior, aprendió perfectamente la práctica de vacunar; y estimulado de su caridad y zelo</t>
  </si>
  <si>
    <t>González Saez, Julián</t>
  </si>
  <si>
    <t>Julián González Saez</t>
  </si>
  <si>
    <t>n 109,227 ; que en todo hace la suma de 425,939 rs. 22 mrs. Quien quisiere hacer postura acuda ante D. Julián González Saez, Escribano de S. M. del número de esta villa y de dicha cpmision, que se le admitirá siendo arreglada. Se halla vacante él partido de cirujano de estuche de la villa de Villarejo</t>
  </si>
  <si>
    <t>González Villar, Juan</t>
  </si>
  <si>
    <t>Juan González Villar</t>
  </si>
  <si>
    <t>lemento ó adiciones al tratado de la sagrada Luminaria, compuesto por el Dr. D. Juan González Villar, Canónigo Lectoral y Abad de S. Guillermo , Dignidad de la santa iglesia de León. En esta obra se ilustran .y amplifican entre otros puntos el de la preferencia de una imagen á otra en la d</t>
  </si>
  <si>
    <t>González Vülamii, Salvador</t>
  </si>
  <si>
    <t>Salvador González Vülamii</t>
  </si>
  <si>
    <t>en el concejo de Gijon, diócesis-de Oviedo, vacante por fallecimiento de D. Juan Antonio Florez, a D. Salvador González Vülamii, Teniente Cura de la parroquial de S. Jorge de dieres, en aquel obispado: para otro Beneficio simple del lugar de Villaverde, y el Arciprestazgo de Cea, en la diócesis de León, va</t>
  </si>
  <si>
    <t>González Yebra, Antonio</t>
  </si>
  <si>
    <t>Antonio González Yebra</t>
  </si>
  <si>
    <t>os discípulos que puedan reemplazarlos. A voluntad dé su dueño , y en virtud de providencia del Sr. D. Antonio González Yebra, caballero'de la Real y distinguida orden de Carlos m , dd Consejo .de S. M. en el supremo de Castilla, Juez comisionado por S. M. dada ¿ conseqüencía de Real orden, se vende la c</t>
  </si>
  <si>
    <t>González, Antonio</t>
  </si>
  <si>
    <t>Antonio González</t>
  </si>
  <si>
    <t>mona, en 20 rs. =22Estampa del quadro alegórico de la fundación de esta Real Academia , pintado por Don Antonio González , grabada por D. Juan Bernabé Palomino, en 15 rs.22= Vista Descalzas, id.222:Vista de la cárcel de corte , id.222:Vista del puente de Toledo, id. =2Estampas de retratos de Pablo d</t>
  </si>
  <si>
    <t>González, Benito</t>
  </si>
  <si>
    <t>Benito González</t>
  </si>
  <si>
    <t>T 58 Hería de la propia plaza ha conferido Tenencias veteranas á los Sárgen• s primeros D. Benito González y D. Diego Martínez; y en el batallón ~e milicias de infantería de Cuba y Bayamo, Compañía al Subteniente éJ joseph Florentin Fontaine; Subtenencia de bandera al Cadete D.Jo. seph Eug</t>
  </si>
  <si>
    <t>González, Diego Benigno</t>
  </si>
  <si>
    <t>Diego Benigno González</t>
  </si>
  <si>
    <t>diencia del Sr. D. Manuel de Torres, del Consejo de S. M., Teniente Corregidor de esta villa , ante D. Diego Benigno González, Escribano del número. Catecismo litúrgico en dos tomos en 4.0: el i.° trata de varías fiestas y oficios particulares, con una disertación preliminar sobre la sagrada Congregación</t>
  </si>
  <si>
    <t>de Torres, del Consejo de S. M., Teniente Corregidor de esta villa, por la escribanía del número de D. Diego Benigno González, á legitimar sus créditos y usar de su derecho; prevenidos que pasado dicho término sin mas citación ni emplazamiento se procederá á lo que corresponda, y les parará el perjuicio</t>
  </si>
  <si>
    <t>de Torres, del Consejo de S. M., Teniente Corregidor de esta villa, por la escribanía numeraria de D. Diego Benigno González, donde se admitirán las posturas que se hicieren en moneda metálica sonante, y darán las noticias que se estimen necesarias. El remate se ha señalado para el dia 26 de Agosto próx</t>
  </si>
  <si>
    <t>anuel de Torres, del Consejo de S. M., Teniente Corregidor en ella, por la escribanía del número de D. Diego Benigno González. =: Ante el mismo Sr. Juez y escribanía se subasta otra casa, sita en la calle de Toledo y de los Tintes de esta corte, núm. 7, manz. 166 , que se compone de un piso baxo con 4 ti</t>
  </si>
  <si>
    <t>ies de Quien quisiere hacer postura á qualquiera de ellas acuda ante dicho Sr. Juez y escribanía de D. Diego Benigno González. Se ha vuelto á señalar el dia 3 de Noviembre próximo, de doce á una de su mañana, en las puertas de la audiencia del mismo Sr. Teniente para el remate de una huerta de hortaliza,</t>
  </si>
  <si>
    <t>González, Francisco</t>
  </si>
  <si>
    <t>Francisco González</t>
  </si>
  <si>
    <t>Subtenencia de bandera al Cadete D. Andrés Machadó: en el de ¡Navarra Tenencias á los Subtenientes D. Francisco González, D. Juan González, D. Francisco GaIlano y D. Antonio Valdes; y Subtenencias de bandera á los Sargentos ■primeros D. Manuel Bustamante y D. Francisco Moreno, al Cadete Don Joaquin</t>
  </si>
  <si>
    <t>de la Corona de Nueva España se ha servido el Rey promover á Teniente de granaderos al de fusileros Don Francisco González; á Teniente al Subteniente de granaderos D. Manuel Adam; á Subteniente de granaderos al de fusileros D. Juan de Urquidi, y á Subteniente de bandera al Cadete D. Joseph Villante. E</t>
  </si>
  <si>
    <t>Gonzaléz, Joseph</t>
  </si>
  <si>
    <t>Joseph Gonzaléz</t>
  </si>
  <si>
    <t>zo Cienfuegos: para la Ración de la colegial de Soria, diócesis de Osma , vacante por promoción de *D. Joseph Gonzaléz á Canongía de la misma iglesia, á D. Juan Antonio Ruiz j y para el Medio* Préstamo de la parroquial de la villa de la Armuña, diócesis de Toledo, vacante por fallecimiento de D. J</t>
  </si>
  <si>
    <t>González, Joseph Vicente</t>
  </si>
  <si>
    <t>Joseph Vicente González</t>
  </si>
  <si>
    <t>tanes á los Tenientes D. Fernando Tremaría, D. Joseph Antonio Lobera, D. Pablo Clemente y Palacios, D. Joseph Vicente González y D. Francisco Lozano: á Teniente.de granaderos al de fusileros D. Juan Vicente Bolívar: á Tenientes de fusileros á los Subtenientes D. Joseph Leandro Palacios, D. Joseph Antonio Cazc</t>
  </si>
  <si>
    <t>González, Juan</t>
  </si>
  <si>
    <t>Juan González</t>
  </si>
  <si>
    <t>al Cadete D. Andrés Machadó: en el de ¡Navarra Tenencias á los Subtenientes D. Francisco González, D. Juan González, D. Francisco GaIlano y D. Antonio Valdes; y Subtenencias de bandera á los Sargentos ■primeros D. Manuel Bustamante y D. Francisco Moreno, al Cadete Don Joaquin Conde y al Subteni</t>
  </si>
  <si>
    <t>González, Juan Antonio</t>
  </si>
  <si>
    <t>Juan Antonio González</t>
  </si>
  <si>
    <t>diferentes puntos de fisiología, patología y terapéutica, por Mr. Fabre , traducido del francés por D. Juan Antonio González*, el mérito del autor da bien á conocer la utilidad de su obra, por lo que no hay que hacer análisis de ella, solo renovar al público la memoria de Mr. Fabre, y las diferentes edi</t>
  </si>
  <si>
    <t>González, Manuel</t>
  </si>
  <si>
    <t>Manuel González</t>
  </si>
  <si>
    <t>; y también ha promovido en el batallón de Voluntarios de Tarragona á Ayudante segundo, al Teniente D. Manuel González.</t>
  </si>
  <si>
    <t>&gt;s, y sé ád¿udicárpn ios siguientes» Agfici/dtwra. Seiscientos y qúa^enta rs. á Manuel González, vecino de Soto de Aller, por haber acreditado haber plantado y tener presos 543 pies de castaños. Mil y quinientos rs. á Vicente Verjnandez ,;yecino de. Pelugano*, del mismo concejo de A</t>
  </si>
  <si>
    <t>González, Nicolás</t>
  </si>
  <si>
    <t>Nicolás González</t>
  </si>
  <si>
    <t>íritu ,en la isla de Cuba,loj empleos deCapitan, Subteniente y Alférez á D.Juan Bautista Cañizares) D. Nicolás González y D. Manuel López, Subteniente, Alférez y Cadetá de la misma. Igualmente ha promovido el Rey en el regimiento de mili-i cías disciplinadas de infantería de Puerto-Rico á Ayudantes may</t>
  </si>
  <si>
    <t>teniente D. Juan Joseph de Ledesma: en el de las Ordenes Militares á los Subtenientes de granaderos D. Nicolás González y D. Diego Carbonell: en el de la Reyna Compañía al Ayudante, graduado de Capitán, D. Cayetano Virues: en el de Voluntarios de Castilla Subtenencia de bandera al Cadete D. Juan Perez</t>
  </si>
  <si>
    <t>González, Tomás</t>
  </si>
  <si>
    <t>Tomás González</t>
  </si>
  <si>
    <t>. M. nombrar para la Asesoría del Gobierno é Intendencia del Paraguay, vacante por fallecimiento de D. Tomas González, á D. Joseph Merino Martínez de Pinillos, Abogado de los Reales Consejos. S. M. se ha servido conferir la Dirección de Rentas de pólvora y naypes de Nueva España á D. Joseph Manue</t>
  </si>
  <si>
    <t>González, Vicente</t>
  </si>
  <si>
    <t>Vicente González</t>
  </si>
  <si>
    <t>ue este servia al Subteniente D. Pedro González de Flores, y la Subtenencia que este dexa al Cadete D. Vicente González. En el regimiento de dragones de España, fixo de México, se ha servido S. M. promover á Tenientes á los Alféreces D. Nicolás Galindo y D. Gabriel Rringas; á Alféreces á los Portag</t>
  </si>
  <si>
    <t>Subteniente D. 1 ecro González de Flores, y^ la Subtenencia que por su ascenso resulta al Sargento D. Vicente González. Por el Ministerio de Hacienda se ha comunicado con fecha de 25 de Marzo la Real orden siguiente: Con esta fecha comunico al Consulado de Málaga lo siguiente: Accediendo el Rey á</t>
  </si>
  <si>
    <t>Gorostiza, Antonio</t>
  </si>
  <si>
    <t>Antonio Gorostiza</t>
  </si>
  <si>
    <t>iento. S., M. se ha servido conferir la Sargentía mayor del regimiento de infantería del Príncipe á D. Antonio Gorostiza, electo Sargento mayor veterano del de infantería provincial de Celeya, en el Reyno de NuevaEspaña: también se ha servido promover á Ayudante en el de infantería de Córdoba al Ten</t>
  </si>
  <si>
    <t>Gourdon</t>
  </si>
  <si>
    <t>istro de Marina las fragatas Cornelia y el Rhin para Argel, llevando encargo el ciud. Gourdon de traer á Francia el Comisario general y su familia, y de manifestar al Ley, que una vez declarada la guerra, no siempre era tiempo de hacer</t>
  </si>
  <si>
    <t>Govantes, Manuel</t>
  </si>
  <si>
    <t>Manuel Govantes</t>
  </si>
  <si>
    <t>Pedro Sánchez, primer Teniente del de Montesa; y el empleo de Portaestandarte en el de Alcántara á D. Manuel Govantes, Cadete del propio cuerpo. También se ha servido promover el Rey á Teniente Coronel del regimiento de cazadores de Pavía ai Coronel D. Juan Antonio Caballero, "Teniente Coronel ag</t>
  </si>
  <si>
    <t>Gower, Lord</t>
  </si>
  <si>
    <t>Lord Gower</t>
  </si>
  <si>
    <t>cuyo tisjb no debe fomentarse. Marios vocales . fueron tachando ya este va el’ otro,impuesto, y el Lord Gower se mostró asombrado de que hubíe■se recaido un impuesto sóbre los sedimentos ó.heces de la cerveza. Mr. Jónhstp.neiSQstuyp querqo.Jbastíaban ios .subsidios pedidos, y que al cabo</t>
  </si>
  <si>
    <t>Goya, Francisco</t>
  </si>
  <si>
    <t>Francisco Goya</t>
  </si>
  <si>
    <t>no Prelado. Colección de 8o estampas en quartilía que representan excelentes caprichos det profesor D. Francisco Goya, Pintor de Cámara de S. M., dibuxados y grabados al agua fuerte por él mismo. Se hallarán en la calcografía establecida en la Imprenta Real á 240 rs. En virtud de Real facultad, y</t>
  </si>
  <si>
    <t>Goycoechea, Antonio</t>
  </si>
  <si>
    <t>Antonio Goycoechea</t>
  </si>
  <si>
    <t>aste de oro y platal, calle dé la Almudena; D. Felipe Paredes, tasador de joyas, en las;platearías; D. Antonio Goycochea,calle de Fuencarral, esquina á la de las lívfantas; D. Manuel Blazqúez, platería frente á Sto. Tomas; viuda de Gil, hijos y sobrino, calle Imperial; D. Elias Ranz, librero,calle d</t>
  </si>
  <si>
    <t>Goyena, Joaquín</t>
  </si>
  <si>
    <t>Joaquín Goyena</t>
  </si>
  <si>
    <t>h de la Espada, D. Esteban Fernandez y D. Juan Dávila; á Tenientes de granaderos á los de fusileros D. Joaquín Goyena y D. Bartolomé Lison ; á Tenientes á los Subtenientes D. Pedro Bofarrull y D. Sebastian de Arroyo , de granaderos, D. Gabriel Tinajero , D. Antonio García, D. Joseph Lacomba, D. Domin</t>
  </si>
  <si>
    <t>Grassetti</t>
  </si>
  <si>
    <t>dido un remo á poca distancia, les perjudicó mucho. El Conde experimentó una especie de mareo, y el Dr. Grassetti una respiración fuerte, cayendo ambos en un sueño profundo : fenómeno que otros aeronautas nan experimentado á cosa de 3 millas de altura. El Sr. Andreoli, que estaba despierto ,</t>
  </si>
  <si>
    <t>Gratepain</t>
  </si>
  <si>
    <t>s sus troxes para que cargasen con todos los fru’tos. Quando sucedió el incendio ya estaba nombrado Mr. Gratepain&gt;MorÍsot miembro del Cuerpo legislativo para la próxima sesión. El primer Cónsul se mantiene enBoloáa, y nada se trasluce de sus designios. Su presencia en aquel puerto, la rapidez</t>
  </si>
  <si>
    <t>Gratepain-Morisot</t>
  </si>
  <si>
    <t>e Balnot-Sur-Seignes, quedando sus dueños sin mas bienes que el vestido que trahian.. El Corregidor Mr. Gratepain-Morisot, ha dado'en estas circunstancias el exempío de un grande y digno magistrado. No solamente ha recogido en su casa de 15 á 16 familias enteras; . sino que ha cedido á todos aquellos</t>
  </si>
  <si>
    <t>Grau Gay</t>
  </si>
  <si>
    <t>y de Antonia") ' , a j Gay , natural de Tosas en Cataluña, f 360. ir /[• ♦ » « Grau Gay } dependiente del Corregimiento de f C Gerona. Murió en 7 de Set.e de 97.-*. r.999.</t>
  </si>
  <si>
    <t>Gray</t>
  </si>
  <si>
    <t>niendo á la Cámara tome en consideración el mensage para el miércoles inmediato (al dia siguiente). Mr. Gray. „Si nuestra causa es justa, y los Ministros han mirado bien por los intereses de la nación , protesto en nombre de todos que se puede contar con el zelo unánime de la Inglaterra</t>
  </si>
  <si>
    <t>Gregor</t>
  </si>
  <si>
    <t>s, sosteniendo que la guerra ofensiva era.indispensable. El Chanciller del-Echiquier respondiendo á Mr. Gregor, que le objetaba la diferencia entre la estimación que antes hacia, y la que hace ahora del pro-ducto.jdel fondo consolidado., expuso -entre otras cosas que se habían ..cargadlo d</t>
  </si>
  <si>
    <t>Gregory, Juan</t>
  </si>
  <si>
    <t>Juan Gregory</t>
  </si>
  <si>
    <t>rso sobre los deberes, quaiidades y conocimientos del Médico con el método de sus estudios , por el Dr. Juan Gregory, Médico del Rey de la Gran Bretaña , y profesor de medicina en la universidad de Edimburgo &amp;c. •. traducido al castellano. Esta obra consta de 6 partes: en la i.a trata de la util</t>
  </si>
  <si>
    <t>Grenier</t>
  </si>
  <si>
    <t>o civil. La discusión de este proyecto se ha señalado para el 11 de Marzo. ' Ei ciud. Grenier, en nombre de la sección de legislación, propone al Tribunado en su junta de 28 de Febrero se apruebe y se admita el proyecto de ley presentado por el gobierno</t>
  </si>
  <si>
    <t>Grenville</t>
  </si>
  <si>
    <t>es el informe de la junta de subsidios, de que se hizo lectura; y se determinó hacerla segunda vez. Mr. Grenville habló extrañando que el Ministro pidiese un subsidio extraordinario de marineros, sin especificar ni los motivos ni el objeto para que se les destinaba. Esta conducta de los Minis</t>
  </si>
  <si>
    <t>orriente mes, Mr. Alexander, las resoluciones adoptadas el dia anterior, y los debates contínuároa. Mr. Grenville recordó que el motivo que había tenido para no votar los 50$ marineros , era el no haberse dado cuenta al Parlamento del objeto á que se destinaban, como tenia derecho de exigirlo</t>
  </si>
  <si>
    <t>incapaces de gobernar. Varios vocales siguiéron hablando en pro y en contra de la propuesta, siendo Mr. Grenville el que mas se extendió, censurando amargamente la conducta de los Ministros, y empeñándose en probar que jamas habia cesado la guerra con la Francia. El Chanciller del Echiquier, de</t>
  </si>
  <si>
    <t>Grenvillé, Lord</t>
  </si>
  <si>
    <t>Lord Grenvillé</t>
  </si>
  <si>
    <t>difiriese el examen. ,,Nada de dilación, replicó el Lord Hoba-rt, es preciso que se nos juzgue.” El Lord Grenvillé hizo un largoy enérgico discurso, manifestando la necesidad de censurar la conducta de los Ministros. Procedióse á votar, y la propuesta fue rechazada por 106 contra 1$. El mismo</t>
  </si>
  <si>
    <t>Grenville, Tomás</t>
  </si>
  <si>
    <t>Tomás Grenville</t>
  </si>
  <si>
    <t>on, y la Cámara se separó* En la Cámara de los Comunes y junta del 24 se continuaron los debates.__ Mr. Tomas Grenville. „Los que crean que no existen justos motivos de guerra que impelan á S. M. á nuevas hostilidades, podrán considerarse fundados para examinar la qfiestion baxo diferente aspecto;</t>
  </si>
  <si>
    <t>Dalmacia, Albania &amp;c. tVi . ■* • Londres jo de Junio. I ln la junta de los Comunes del 25 de Mayo, Mr. Tomas Grenville hace da proposición de que se presenten otros papeles necesarios para saber con certeza..quales han sido los procederes de nuestro gobierno y del dé España, ó dé la República fran</t>
  </si>
  <si>
    <t>Greuhm</t>
  </si>
  <si>
    <t>e junten los fondos necesarios, se ceñirán á enviar uno á Paris, y si es posible, otro á Berlín. 3/ Mr. Greuhm, Consejero privado de la casa de Linange, ha sido nombrado Encargado de negocios en Paris ; pero á causa de estar quebrantado de salud, le substituirá Mr. Standel, Consejero priva</t>
  </si>
  <si>
    <t>Grevigne, Henrique</t>
  </si>
  <si>
    <t>Henrique Grevigne</t>
  </si>
  <si>
    <t>rzo último. A fin de fomentar la plantación é ingenio de azúcares que tiene establecido en Marbella Don Henrique Grevigne, ha venido S. M. en mandar que en lo sucesivo se cobren solo 3 rs. de cada forma, en vez de los 7 rs. que se exigen en la actualidad. Por Real orden de i.° de Marzo del año pasado</t>
  </si>
  <si>
    <t>Grey</t>
  </si>
  <si>
    <t>ámara de los Comunes del dia 19, se trató de los papeles relativos á las negociaciones con Francia. Mr. Grey observó: j,Que muchos puntos no estaban bien claros, y dixo que tenia intención de hacer varias propuestas á la Cámara para que se pidiesen noticias mas circunstanciadas. La decla</t>
  </si>
  <si>
    <t>encia de las disposiciones hostiles de la Francia.” Continúa el noble Lord-refutando el discurso de Mr. Grey, y dice : „ Que no-halla inconveniente en lás propuestas relativas al Cabo de Buena-Esperanza y.la Luisiana, sobre cuy© ultimo punto se tiene ya noticia de oficio por el Embaxador</t>
  </si>
  <si>
    <t>de esca lucha con gloria y felicidad.__ Mr. Whitbread apoyó con mucho calor el dictamen de su amigo Mr. Grey. Dixo que deseaba como él qué hubiese unanimidad, y que en caso de ser inevitable la guerra, se ayudase á S; M. con las vidas y haciendas de sus vasallos: que estaba pronto á sacr</t>
  </si>
  <si>
    <t>aun habia lugar de un examen ulterior de este asunto. Por último concluyó apoyando la propuesta de Mr. Grey. (Se concluirá.) Parts Jj de Junto. E I Teniente General y Comandante en xefe Eduardo Morder, ha escrito al Ministro de la Guerra, con fecha en Niewburg á 4 de Junio, lo siguiente</t>
  </si>
  <si>
    <t>Grey, Lord</t>
  </si>
  <si>
    <t>Lord Grey</t>
  </si>
  <si>
    <t>ntes de los condados, y que el mandó de las tropas debía confiarse á oficiales acreditados, como el Lord Grey y un noble Conde que tenían á«la vista (mirando al Lord Moira.) Tampoco querría quedara sin mando el noble Xord que ganó el Egipto para la Inglaterra---- El Lord Grosvenor dice al o</t>
  </si>
  <si>
    <t>Grijoa, Antonio</t>
  </si>
  <si>
    <t>Antonio Grijoa</t>
  </si>
  <si>
    <t>nte al Teniente D. Melchor de Reyna; á Tenientes de granaderos á los de fusileros D. Esteban Liñan, D. Antonio Grijoa y D. Gabriel Gascón; á Tenientes á lo» Subtenientes de granaderos D. Fernando Martínez y D. Pascual Agustín Martínez, y á los de fusileros D. Joseph María Mendez, D. Nicolás de Vedia,</t>
  </si>
  <si>
    <t>Grimarest, Pedro</t>
  </si>
  <si>
    <t>Pedro Grimarest</t>
  </si>
  <si>
    <t>Luis Padilla, D. Xavier Elio, D. Juan Chrisóstomo Trelles ,.D. Cárlos Montero, D. Vicente Martínez, D. Pedro Grimarest, D. Alonso Valdes y D. Alexandro Ojea, Sargentos mayores de los de España , Navarra , Princesa, batallón de Voluntarios de Valencia, Mallorca, Sevilla, Saboya, Burgos, Guadalaxara</t>
  </si>
  <si>
    <t>Grin, General</t>
  </si>
  <si>
    <t>General Grin</t>
  </si>
  <si>
    <t>pe Ernesto, que ha llegado estos últimos dias á Falmouth^ de las islas de Sotavento, se sabe que el General Grin.field se proporiia acometer los establecimientos holandeses de las islas de Demerari y Surinam, cuyos habitantes por la mayor parte parecen dispuestos i aceptar la protección de l</t>
  </si>
  <si>
    <t>Grinda, Pedro</t>
  </si>
  <si>
    <t>Pedro Grinda</t>
  </si>
  <si>
    <t>sco-Reyna y D. Joseph Vergara. El Rey ha nombrado en el Real cuerpo de Ingenieros Capitán primero á D. Pedro Grinda, Capitán segundo; y para este empleo al Teniente D. Alexandro Pastor. y En los regimientos Provinciales ha nombrado el Rey Sargento mayor del de Sevilla á D. Nicolás Duprat.de la</t>
  </si>
  <si>
    <t>Grinfieid, General</t>
  </si>
  <si>
    <t>General Grinfieid</t>
  </si>
  <si>
    <t>sto, se sabe que en aquel mismo dia se hizo á la vela la expedición contra Demerari, mandada por el General Grinfieid. Esperábase que tuviese fetíz éxito. El Conde de Harrington, General del distrito de Lóndres, ha escrito el 18 de este mes al Lord Corregidor , participándole que S. M. se propone</t>
  </si>
  <si>
    <t>Grinfiel, Teniente General</t>
  </si>
  <si>
    <t>Teniente General Grinfiel</t>
  </si>
  <si>
    <t>o¿ablí‘ señalar los jueces*_L Pasóse á votar sobre la. moción, de Mr* Johnstone, y se desestimo* EL Teniente General Grinfiel, comandante en xefe de las tropas en las Antillas, lia dado cuenta,. con fecha! de 2 2;de Jupio;,? de lorocurrido. en la isla dé Sta* Lucía, y es en sustanciajquejhabtendd:desemba</t>
  </si>
  <si>
    <t>Grinfield, General</t>
  </si>
  <si>
    <t>General Grinfield</t>
  </si>
  <si>
    <t>84c mas británicas al mando del General Grinfield.__Viendo el Capitán General Cesar Bertier que era inútil toda resistencia, propuso capitular, lo que inmediatamente se acepto, y el i.° de Julio los ingleses ocuparon el fuerte Sc</t>
  </si>
  <si>
    <t>Grosvenor, Lord</t>
  </si>
  <si>
    <t>Lord Grosvenor</t>
  </si>
  <si>
    <t>oira.) Tampoco querría quedara sin mando el noble Xord que ganó el Egipto para la Inglaterra---- El Lord Grosvenor dice al orador que guarde moderación.__ El Duque de Clarence se manifiesta sorpreheñaido ce tal insinuacion._El Lord Chanciller expone que la qüestion propuesta es eTdiscurso de g</t>
  </si>
  <si>
    <t>Gruillotin</t>
  </si>
  <si>
    <t>la esquadra enemiga. ! ; . .• Antes de partir el primer Cónsul dio audiencia al ciud. Gruillotin, disputado por la junta central de la vacuna, de que es miembro, para presentar al xefe magistrado el informe general sobre este nuevo método de inoculación. A</t>
  </si>
  <si>
    <t>Gruner</t>
  </si>
  <si>
    <t>está muy ocupado en la reforma de la justicia criminal en Prusia. Se propone valerse de la obra de Mr. Gruner, Consejero de Guerra, sobre los medios de perfeccionar las Instituciones de seguridad pública, y ha manifestado lo mucho que la aprecia. Gruner ha ido á París wn la mira de promov</t>
  </si>
  <si>
    <t>Gtey</t>
  </si>
  <si>
    <t>de los Ministros , en lo que apónas se detuvo. Su discurso fue mas moderado de lo que se esperaba. Mr. Gtey manifestó con poderosos argumentos que aun habia algún camino abierto para negociar.</t>
  </si>
  <si>
    <t>Guaxardo y Fáxardo, Agustin</t>
  </si>
  <si>
    <t>Agustin Guaxardo y Fáxardo</t>
  </si>
  <si>
    <t>político de la ciudad de Córdoba, por fallecimiento de D. Gregorio Guazo Gutiérrez que lo servia, á D. Agustin Guaxardo y Fáxardo. En América. El Rey se ha servido nombrar para una Media-Ración</t>
  </si>
  <si>
    <t>Guazo Gutiérrez, Gregorio</t>
  </si>
  <si>
    <t>Gregorio Guazo Gutiérrez</t>
  </si>
  <si>
    <t>elgado de A rellano; y para el Corregimiento político de la ciudad de Córdoba, por fallecimiento de D. Gregorio Guazo Gutiérrez que lo servia, á D. Agustin Guaxardo y Fáxardo. En América. El Rey se ha servido nombrar para una Media-Ración</t>
  </si>
  <si>
    <t>Guerra, Tomás</t>
  </si>
  <si>
    <t>Tomás Guerra</t>
  </si>
  <si>
    <t>lde del crimen de ía Real Audiencia y Chancillería de Valiadolid, por la escribanía de provincia do D. Tomas Guerra. Hijfla vilía de Cintrúénigo, réyno de Navarra , obispado de Tarazona, se halfy vacante la plaza 4eorgapjsta de su única parroquia, dotada en 8 rs.«diarios, pagados ’ménsúalmente</t>
  </si>
  <si>
    <t>Guerrero Sánchez, Manuel</t>
  </si>
  <si>
    <t>Manuel Guerrero Sánchez</t>
  </si>
  <si>
    <t>o de la misma: para esta Ración, al Medio-Racionero D. Joseph María, de Rey ñas para esta resulta á D. Manuel Guerrero Sánchez, electo Medio-Racionero de la catedral de Cuenca^ y para una Ración de la metropolitana de Manila, vacante por muerte de D. Bernardo Abascai, al Medio-Racionero déla misma D, V íc</t>
  </si>
  <si>
    <t>Guerrero, Pedro</t>
  </si>
  <si>
    <t>Pedro Guerrero</t>
  </si>
  <si>
    <t>del de Navarra: en el de Betanzos á D. Nicolás Cortés, Capitán del de la Corona:: en el de Cuenca á D. Pedro Guerrero, Ayudante del provincial de Orense: en el de Alcázar de S. Juan á D. Tomas Cano , Capitán del de infantería de la Corona: en el de Mondoñedo á D. Fernando Martínez, Capitán del in</t>
  </si>
  <si>
    <t>Guílleímo Antonio Xaramilío</t>
  </si>
  <si>
    <t>go de D. Guílleímo Antonio Xaramilío, en la calle de Relatores. Se adjudicaron y dístribuyéron 6 premios , que consistieron en otros tantos ejemplares de la obra de D. Quixote en pasta ; á saber , los 3 primeros á D.</t>
  </si>
  <si>
    <t>Guillelmina, Princesa</t>
  </si>
  <si>
    <t>Princesa Guillelmina</t>
  </si>
  <si>
    <t>. fuerte sacudimiento. St.ockolmo 19 dé Noviembre.. L a- inoculación de la vacuna, que se hizo á la Princesa Guillelmina,: ha tenido un feliz suceso. Este exemplo podrá contribuir mucho á propagar tan útil práctica entre nosotros. S.AÍ. ha ratificado ayer el. tratado de paz concluido entre el Almira</t>
  </si>
  <si>
    <t>Guillelmo Huald</t>
  </si>
  <si>
    <t>ido nombrar para la citada Canongía y para la Dignidad de Chantre, vacante en la propia catedral, á D. Guillelmo Huald.e.y Falcon. E11 el regimiento de infantería de Soria se ha servido promover el Rey á Subteniente de bandera al Sargento primero D. Antonio Senent: en el de Córdoba á Subteniente d</t>
  </si>
  <si>
    <t>Guillelmo Smith</t>
  </si>
  <si>
    <t>entonces hubiera tenido 3 meses de término para injuriarlos y envilecerlos á los ojos del pueblo.” Mr. Guillelmo Smith aprobó el bilí y las basas sobre que estaba fundado, porque estas excitaban los ánimos, según se veia claramente, y transformaban este pais en una nación armada; dixo que el bilí</t>
  </si>
  <si>
    <t>Guillelmo Xaramillo</t>
  </si>
  <si>
    <t>ulio próximo el noveno examen público del estudio de gramática y ortografía castellana, que regenta D. Guillelmo Xaramillo, presidiéndolo el Sr. D. Sebastian de Torres * del Consejo Real, con asistencia de la Real Sociedad económica de amigos del pais. Don Joseph Junco leyó una oración sobre la utilid</t>
  </si>
  <si>
    <t>Guillemet</t>
  </si>
  <si>
    <t>á algunos, y concedió sables de honor á otros, entre los quaies se cuentan los ciudadanos Guillemet y Jouette, aquel Capitán de navio y Comandante de la división naval, y este Capitán, Ayudante de Campo del General de brigada Lavalette.__ Varios buques franceses y extr</t>
  </si>
  <si>
    <t>Guillen, Manuel Joseph</t>
  </si>
  <si>
    <t>Manuel Joseph Guillen</t>
  </si>
  <si>
    <t>a de la Real capilla de Granada, vacante por muerte de Don Francisco de Paula Fonseca y Montilla, á D. Manuel Joseph Guillen, Director y Maestro de Matemáticas de los Caballeros Pages de S. M. En el regimiento de Reales Guardias Españolas se ha servido promover el Rey á Teniente Coronel al Teniente Gene</t>
  </si>
  <si>
    <t>Guillermo de Baviera, Duque</t>
  </si>
  <si>
    <t>Duque Guillermo de Baviera</t>
  </si>
  <si>
    <t>A. E. separarlo enteramente de sus estados de que está muy distante, confirmando en su gobierno al Duque Guillermo de Baviera , antes Príncipe de Birkenfeld, su priir o hermana , y sucesor eventual en caso de faltar los hijos varones del Elector. Está para coWluirse el ajuste , quedando S. Á. E. libre de</t>
  </si>
  <si>
    <t>Guillermo de Brunswick, Príncipe</t>
  </si>
  <si>
    <t>Príncipe Guillermo de Brunswick</t>
  </si>
  <si>
    <t>ría, en lá plaza mayor. El Pvey de Suecia, los. Electores de gaviera y Badén, el Margrave Luis y el Príncipe Guillermo de Brunswick, asistieron á ella. Luego que se concluyó, fueron el Rey.y los dos Electores al soberbio gabinete de historia natural, que se ha puesto baxo la dirección del Consejero Gmelin , y</t>
  </si>
  <si>
    <t>Guillermo de Glocester, Príncipe</t>
  </si>
  <si>
    <t>Príncipe Guillermo de Glocester</t>
  </si>
  <si>
    <t>caballeros de la corte. Inmediatamente S. M., acompañado del Duque y la Duquesa de Sudermania, del Príncipe Guillermo de Glocester y de un numeroso séquito, pasó á la iglesia catedral, donde se cantó el le Dettrn en acción de gracias por el feliz alumbramiento de nuestra Reyna, quien sigue sin novedad, igualmente</t>
  </si>
  <si>
    <t>Domingo con ricos cargamentos. En Liverpool se están haciendo grandes preparativos para recibir al Príncipe Guillermo de Glocester, á quien se espera allí muy en breve. S. A. será el primer Príncipe de la Sangre que de un siglo á esta parte haya visitado aquella ciudad. Ya en parte vemos palpablemente (dice e</t>
  </si>
  <si>
    <t>formar baterías, con el fin de poner todo el distrito en el estado mas completo de defensa.- .. El Príncipe Guillermo de Glocester continua su marcha en calidad ce comandante del distrito del N. O. E11 Aberistwith fue recibido por los habitantes de Cardiganshire con el mayor entusiasmo , y de allí salió S. A.</t>
  </si>
  <si>
    <t>Guillermo de Prusia, Príncipe</t>
  </si>
  <si>
    <t>Príncipe Guillermo de Prusia</t>
  </si>
  <si>
    <t>bo mucha concurrencia de Oficiales extrangeros y de varios Príncipes y Soberanos. El casamiento del Príncipe Guillermo de Prusia se celebrará el 8 de Enero, y el dia i.° llegará aquí la Landgrave reynante de Hesse-Homburgo, hermana de S. M. la Reyna viuda, con la Princesa que ha de casarse y sus hermanas. L</t>
  </si>
  <si>
    <t>Guillermo Marrast de Forgis</t>
  </si>
  <si>
    <t>Antonio Ruiz de Cabria: en el ae Ultónia Compañía al Teniente de granaderos; con grado de Capitán, D. Guillermo Marrast de Forgis: en el de América Ayudantía al Teniente, con igual grado, D. Pedro Tejada: en el de ‘ la Princesa Compañía al Teniente'de granaderos, también graduado de Capitán, D. Bernardo Casa</t>
  </si>
  <si>
    <t>Guillermo Rocabruna</t>
  </si>
  <si>
    <t>ara un Beneficio de la parroquia de Alcober, en la diócesis de* Tarragona, vacante por promoción de D. Guillermo Rocabruna á una Ración de aquella santa iglesia, á D. Rafael Roca: para otro de la expresada parroquia de Alcober, vacante por promoción de D. Juan Mas á un Beneficio de la villa de Valls,</t>
  </si>
  <si>
    <t>Guillermo Rocabrune y Brias</t>
  </si>
  <si>
    <t>ía; y para una Ración de la metropolitana dreTarragona, vacante por muerte de D. Joseph Bartroii, i D. Guillermo Rocabrune y Brias. ' ^ El dia 27 de Mayo último entró en el puerto de la Coruña, viniente de Montevideo, de donde salió el 5 de Marzo, la corbeta correo de la Real Armada Infante D. Carlos, con la</t>
  </si>
  <si>
    <t>Guillermo Smith</t>
  </si>
  <si>
    <t>mular los ánimos, en caso que; en lo sucesivo sea preciso hacer unos esfuerzos como los presentes.” Mr. Guillermo Smith en su discurso hizo ver que mediante á que de cada 100 hombres solo se daba armamento á 25 , era claro que el gobierno no pensaba armar mas que la quarta parte de la gente que se pr</t>
  </si>
  <si>
    <t>Guillermo Thomson, Capitán</t>
  </si>
  <si>
    <t>Capitán Guillermo Thomson</t>
  </si>
  <si>
    <t>n únicamente sus vidas..__, •El dia i&amp;del mismo mes de Setiembre el buque nombrado MargaritaIsabel, Capitán Guillermo Thomson, que venia de Dantzick cargado de granos; fue también sorprehendido por un temporal, y arrojado sobre una roca que hay á la entrada del puerto de la fortaleza de Christiansoe, don</t>
  </si>
  <si>
    <t>Gumesindo Ortiz</t>
  </si>
  <si>
    <t>miento de D. Angel Velasco, á D. Manuel Castalio: para otra de la de Guadix , vacante por muerte de D. Gumesindo Ortiz, á D. Benito Caballero,, Gobernador, Provisor y Vicariorgeneral de aquel obispado: f&gt;ara otra de la de Os uva, vacante por fallecimiento de D. Bernardo de Torres, á D. Ramón de Na</t>
  </si>
  <si>
    <t>Gutierres, Ángel</t>
  </si>
  <si>
    <t>Ángel Gutierres</t>
  </si>
  <si>
    <t>niente de granaderos al de fusileros Don Ramón Ayala; á Subteniente de compañía al Sargento primero D. Angel Gutierres , y á Subtenientes de bandera, á los Cadetes D. Joseph Antonio Urriera y D. Joseph Lorenzo Romana. Igualmente se ha servido S. M. nombrar para la Auditoría de la provincia de Cuma</t>
  </si>
  <si>
    <t>Gutiérrez Bueno, Pedro</t>
  </si>
  <si>
    <t>Pedro Gutiérrez Bueno</t>
  </si>
  <si>
    <t>fino á 6 rs. Observaciones sobre el galvanismo, según se hallan en él curso de práctica química de D. Pedro Gutiérrez Bueno, con la descripción de los aparatos y modo de usarlos. En este papel se da una breve noticia de los nuevos descubrimientos galvánicos que ofrecen grandes esperanzas para los progr</t>
  </si>
  <si>
    <t>cias á los alfareros sobre los vidriados saludables, conforme á la práctica del curso de química de Don Pedro Gutiérrez Bueno. Esta obra y las demas del autor se hallarán en las librerías de Ranz, calle de la Cruz, y en la de Tieso, calle de las Carretas: puede ir en carta. Abecedarios instructivos en fo</t>
  </si>
  <si>
    <t>Gutiérrez de Cos, Pedro</t>
  </si>
  <si>
    <t>Pedro Gutiérrez de Cos</t>
  </si>
  <si>
    <t>íá Dodtorai de la metropolitana dé Lima, vacante por fallecimiento de Don Joseph Antonio Cevallos,á D. Pedro Gutiérrez de Cos. Con fecha de 3 de este mes se ha comunicado por el Ministerio de Hacienda la Real orden siguiente: Enterado el Rey de las dudas propuestas por algunos Subdelegados del R.eyno sob</t>
  </si>
  <si>
    <t>£4° dé la metropolitana de Lima, vacante por promoción de D. Pedro Gutiérrez de Cos á la Canongía Doctoral de la propia metropolitana, á Don Antonio Fernandez de la Cámara, Cura de Guaras, en dicho arzobispado ; y para la segunda Media-Ración de la propia metropo</t>
  </si>
  <si>
    <t>Gutiérrez de Píñeres, Juan Francisco</t>
  </si>
  <si>
    <t>Juan Francisco Gutiérrez de Píñeres</t>
  </si>
  <si>
    <t>. M.“ nombrar para .la plaza de Ministro Togado del Consejo de Indias, vacante por fallecimiento de D. Juan Francisco Gutiérrez de Píñeres, á D. Francisco Saavedra y Carvajal,' Regente de la Real Audiencia de Guadalaxara : para otra plaza de Ministro Togado del propio Consejo, vacante por muerte de D, Tomas Alvares d</t>
  </si>
  <si>
    <t>Gutiérrez Estrada, Alonso</t>
  </si>
  <si>
    <t>Alonso Gutiérrez Estrada</t>
  </si>
  <si>
    <t>966 miento de D. Alonso Gutiérrez Estrada, á £). Pedro Sánchez .Llórente: para la Ración que obtenía también en la referida catedral el expresado D. Alonso Gutiérrez Estrada, á D. Manuel Martin Torrejon: para otra dei col</t>
  </si>
  <si>
    <t>Gutiérrez Valdés, Juan Francisco</t>
  </si>
  <si>
    <t>Juan Francisco Gutiérrez Valdés</t>
  </si>
  <si>
    <t>gnidad-de.Cliantre-de la catedral de Santander, vacante por fallecimiento: de D. Antonio Ibañez , i D. Juan Francisco Gutiérrez Valdés: para la Canongía, que este obtiene en la misma iglesia y resultará vacante, á D. Francisco Sagarminaga: para el Benéñcio simplei de Castrillonde Murcia en el arzobispado di Burgo</t>
  </si>
  <si>
    <t>Gutiérrez y Varona, Francisco</t>
  </si>
  <si>
    <t>Francisco Gutiérrez y Varona</t>
  </si>
  <si>
    <t>lamanca, vacante por muerte1 de D.. Juan Toledano, y por haber fallecido también sin tomar posesión D. Francisco Gutiérrez y Varona, á quien nombró S. M. para ella en decreto de 24 de Abril de este año, á D. Salvador Teierizo de Tejada ; para la Ración que este obtiene en aquella catedral y resultará vacante,</t>
  </si>
  <si>
    <t>Gutiérrez y Varona, Manuel Francisco</t>
  </si>
  <si>
    <t>Manuel Francisco Gutiérrez y Varona</t>
  </si>
  <si>
    <t>brar para la Canongía de la catedral de Salamanca, vacante por fallecimiento de D. Juan Toledano, á D. Manuel Francisco Gutiérrez y Varona: para la de la metropolitana de Granada, vacante por promoción de D. Miguel de Crayvinquel y Zuleta al Deanato de la misma, á D. Antonio Cervino y Trevijano: para la Ración que es</t>
  </si>
  <si>
    <t>Gutiérrez, Antonio</t>
  </si>
  <si>
    <t>Antonio Gutiérrez</t>
  </si>
  <si>
    <t>to de infantería Inme^ ¿norial del Rey á Ayudante al Teniente de granaderos, graduado de Ca~ pitan, D. Antonio Gutiérrez : en el de Granada á Teniente al Subteniente de granaderos D. Antonio de Soto: en el de Zaragoza á Subteniente de bandera al Cadete D. Antonio de Miranda: en el de Murcia á Tenien</t>
  </si>
  <si>
    <t>Gutiérrez, Francisco</t>
  </si>
  <si>
    <t>Francisco Gutiérrez</t>
  </si>
  <si>
    <t>en el regimiento de infantería de Aragón á Capitán al Teniente de granaderos, graduado de Capitán, D. Francisco Gutiérrez. &gt; ' En el Real cuerpo de Artillería se ha dignado S. M. promover á Teniente Cororíel al Xefe de brigada D. Casiano Arsú; á Xefe de brigada al Capitán primero D. Antonio de la Cru</t>
  </si>
  <si>
    <t>Gutiérrez, Joseph Márcos</t>
  </si>
  <si>
    <t>Joseph Márcos Gutiérrez</t>
  </si>
  <si>
    <t>arretas. Quaresma, pláticas morales y panegíricos de D. Gerónimo Trento: traducidas del toscano por D. Joseph Márcos Gutiérrez. Se venden en la librería de Castillo, frente á S. Felipe el Real. Tratado de la tisis, sus síntomas , sus causas, sus diferencias y curación: por Mr. Jeannet des Longroís, Doctor</t>
  </si>
  <si>
    <t>Gutiérrez, Miguel</t>
  </si>
  <si>
    <t>Miguel Gutiérrez</t>
  </si>
  <si>
    <t>n, Capitán de fusileros del mismo cuerpo: para la Compañía de fusileros, que este dexa, al Ayudante D. Miguel Gutiérrez: para la Ayudantía al Teniente D. Bernardo Vailariho; para los empleos de Tenientes á los Subtenientes de granaderos D. Manuel García y Don Alexo Alarcon, y para la Subtenencia de</t>
  </si>
  <si>
    <t>Guzman, Francisco</t>
  </si>
  <si>
    <t>Francisco Guzman</t>
  </si>
  <si>
    <t>902 dalla de plata de dos ottzas á D. Pedro Terroba.— Quatro iguales de cabezas á D. Francisco Guzman,D. Antonio García Vera, D. Antonio Alamo y D. Manuel de Medina-----Para premiar la aplicación de otros quatro opositores de esta ultima ciase, se confirió á cada uno una onza de p</t>
  </si>
  <si>
    <t>Ha'wkesbury, Lord</t>
  </si>
  <si>
    <t>Lord Ha'wkesbury</t>
  </si>
  <si>
    <t>icias, pues podían callarse sus nomb.res,, como! se- había*, ya hecho'en otros casos semejantes.” ! Lord Ha'wkesbury. „No se funda la conducta de los Ministros dttr**</t>
  </si>
  <si>
    <t>Haiiegg, Antonio</t>
  </si>
  <si>
    <t>Antonio Haiiegg</t>
  </si>
  <si>
    <t>ente de granaderos D. Joaquín Martínez: en el Suizo ambulante de Ruttiman á Teniente al Subteniente D. Antonio Haiiegg; y á Capitán segundo en el de Yann, vacante, al Teniente de granaderos D. Domingo Tries. El Sr. primer Secretario de Estado dirigió con fecha de 29 del pasado al Sr. Gobernador de</t>
  </si>
  <si>
    <t>Hales</t>
  </si>
  <si>
    <t>mbra, podían observarlos. En algunas partes faltaban enteramente las letras, y estas las ha suplido Mr. Hales, empleado en Ñapóles en descifrar los antiguos manuscritos hallados en el Herculano. La traducción de .esta inscripción es como sigue: A Diocleciano Augusto , Emperador adorable ,</t>
  </si>
  <si>
    <t>Hamilton y Ayudante-Quartel-Maestre, Coronel</t>
  </si>
  <si>
    <t>Coronel Hamilton y Ayudante-Quartel-Maestre</t>
  </si>
  <si>
    <t>en Inglaterra, y es en substancia como sigue: Convenio ajustado el yt de Diciembre de 1802 entre el Coronel Hamilton y Ayudante-Quartel-Maestre general&gt; y Jorge Pr ingle, Comisario generals ambos autorizados por sus Excelencias el General Dundas y el Vice-Almirante Roger Cartis, por parte de S. M. Británica y y el Contra-</t>
  </si>
  <si>
    <t>Hartsinck</t>
  </si>
  <si>
    <t>onfirmar el nombramiento de Vice-AImirante hecho por el Consejo de Guerra en el ciud. Hartsinck, destinado á mandar la esquadra bátava en el Mediterráneo.__ :E1 dia 13 se despacharon muchos correos á: nuestros Ministros en varias cortes de Europa, y á nue</t>
  </si>
  <si>
    <t>Harville, General</t>
  </si>
  <si>
    <t>General Harville</t>
  </si>
  <si>
    <t>palacio de las Tullerías al Senado, al Tribunado , y á una diputación del Cuerpo legislativo.__ El General Harville, Vice-Presidente del Senado, llevaba la vo?, y entregó al primer Cónsul la acta del Senado conservador en que se</t>
  </si>
  <si>
    <t>Has</t>
  </si>
  <si>
    <t>u jpropia caxa 800. para conservación y gastos del establecimiento , cuya inspección se encargará á Mr. Has.elberg, profesor .de la Academia. *T^?r ' &gt; , Vierta t.0 de Octubre. v Lnlientras que las cartas de Constantinopla •anuncian que se han logrado algunos triunfos contra Abb-El-Ouha</t>
  </si>
  <si>
    <t>Hatsink, Almirante</t>
  </si>
  <si>
    <t>Almirante Hatsink</t>
  </si>
  <si>
    <t>Reunión. Miéntras estuvo en el Cabo se le reunió otra esquadra mas fuerte, que seria la del Contra-Almirante Hatsink. Las lluvias freqüentes que hemos experimentado de 12 días á esta parte lían echado á perder de tal modo los caminos, que ios faltan muchos correos de Francia y del Imperio. £1 ci</t>
  </si>
  <si>
    <t>Haug</t>
  </si>
  <si>
    <t>ejantes observaciones se intenta adaptar uno de estos prismas al mejor anteojo del observatorio. El Dr. Haug, Médico de Rastadt, ha recibido de su colega Decaro,</t>
  </si>
  <si>
    <t>Haukesbury, Lord</t>
  </si>
  <si>
    <t>Lord Haukesbury</t>
  </si>
  <si>
    <t>'dia 2jf que ningún diarista pudo asistir á aquella junta, de la qcte solo se sabe lo siguiente: El Lord Haukesbury empezó los debates con un discurso en que propuso se diesen gracias á S. M. en nombre de la Cámara por su mensage, y por la comunicación de los papeles presentados por su orden: que</t>
  </si>
  <si>
    <t>Haukins Browne</t>
  </si>
  <si>
    <t>quien se trata, tengo pruebas evidentes de que no se debe acusar de ello aL Comandante en xefe.”__ Mr. Haukins Browne hizo una viva pintura de todos los males que el pueblo debía esperar de la libertad francesa__ Mr. Fox habló fuertemente á favor del establecimiento de un consejo de guerra; y con</t>
  </si>
  <si>
    <t>HaurathT, Capitán</t>
  </si>
  <si>
    <t>Capitán HaurathT</t>
  </si>
  <si>
    <t>e las cortes de Petersburgo y Berlin tendrán las mas felices conseqiíencias. Lubeck 24 de Mayo, E 1 Capitán HaurathT que ha llegado aquí en 10 dias de Cronstadt, dice que á su salida se armaban con mucha actividad todas las esquadras rusas, y que inmediatamente saldría una parte al Báltico , cre</t>
  </si>
  <si>
    <t>Hauterive</t>
  </si>
  <si>
    <t>código de navegación de la Inglaterra, y que este plan lo habia ya sugerido el ciud. Hauterive , con la intención manifiesta de destruir el comercio de la Gran Bretaña. Otros vocales dixéron que la cuenta presentada por el Canciller del Echiquier, habia</t>
  </si>
  <si>
    <t>Hawkes, Lord</t>
  </si>
  <si>
    <t>Lord Hawkes</t>
  </si>
  <si>
    <t>e Londres hemos sabido que al fin ha mandado aquel gobierno se bloquee el Weser. Con este motivo el Lord Hawkes— bury pasó el dia 26 del mes anterior una nota á los Ministros extranger os residentes en Londres, cuyo contenido es el siguiente: „ El infrascrito Secretario de Estado de los neg</t>
  </si>
  <si>
    <t>Hawkesbury, Lord</t>
  </si>
  <si>
    <t>Lord Hawkesbury</t>
  </si>
  <si>
    <t>esto se veri* fique residirá en la abadía que fue- de Amorbach.. ' - Londres i/¡ de IHciembre. I A Lord Hawkesbury ha recibido de parte del primer Cónsul un magnífico regalo de porcelana, que consiste en una vaxíila completa. Las últimas noticias de los Estados-Unidos anuncian, q.ue el frió ha</t>
  </si>
  <si>
    <t>447 permiso de-proponer a la Cámara que no se diese punto por ahora.”__ El Lord Hawkesbury opinó: ,,Que no habia inconveniente en que la Cámara diese punto, pues era imposible informarla de nada ántes que llegase el Lord Whitworth.”__ Otros vocales hablaron en pro y en</t>
  </si>
  <si>
    <t>a, admirado de que se anunciase la existencia de negociaciones que ignoraba, fue a casa de S. E. el Lord Hawkesbury', y debiendo desde entonces sospechar que el apelar a fas armas fundándose en dos falsos supuestos, podía cubrir el proyecto de violar el tratado de Amiens en las cláusulas que aun</t>
  </si>
  <si>
    <t>convocar á su nación á tomar las armas , y romper el vinculo' de paz que unia á los dos estados. Él Lord Hawkesbury en ij. del mismo entrego al General Andreosi una nota vaga, agresiva y absoluta , la que lejos de aclarar nada, obscurecía más la materia, dexando apenas divisar la posibilidad de a</t>
  </si>
  <si>
    <t>d Whitword ha llegado á Douwres, y un correo español que lo encontró ha traído cartas suyas para el Lord Hawkesbury. En la Cámara de los Pares presentó el 16 el Lord Pelham el mensage del Rey acerca del rompimiento de las negociaciones con P rancia, y pidió se tomase en consideración; advirtien</t>
  </si>
  <si>
    <t>fué presentado por el Chanciller de! Echiquier el mismo mensage del Rey , y se leyó___ Levántase el Lord Hawkesbury, toma la voz , y termina su discurso proponiendo á la Cámara tome en consideración el mensage para el miércoles inmediato (al dia siguiente). Mr. Gray. „Si nuestra causa es justa,</t>
  </si>
  <si>
    <t>á Malta y al Cabo, siendo las demas rechazadas. En la sesión de la misma Cámara, el 20, presentó el Lord Hawkesbury otros papeles relativos á*las causas del rompimiento con Francia. Mrs. Grey, Sheridan y Whitbread insistieron de nuevo en que se comunicasen á la Cámara los papeles de oficio acer</t>
  </si>
  <si>
    <t>relativo á Malta, parece por los papeles que están sobre la mesa, que el principio prefixado por el Lord Hawkesbury para reclamar su posesión por 10 años, es que S. M. tenia derecho de exigir un equivalente por el engrandecimiento del poder .continental de Francia. Puede pues proponerse la qües</t>
  </si>
  <si>
    <t>m les presentados eniéste dia por él Lord Hawkesbury, dónde se décia que el primer Cónsul estaba pronto á admitir á la Rusia, Austria y Prusia, como garantes de la independencia de Malta, cuyas palabras dixo eran muy importantes par</t>
  </si>
  <si>
    <t>a ciudad han sido cogidos. por los ingleses. Londres de Mayo* Ki-ohdwfe la discusión del dia 24. El Lord Hawkesbury entró en algunas explicaciones; y luego Mr. Fox habló de esta manera: ,,Después de tan Jarea discusión sostenida por los miembros de una y otra parte, y después de examinados extens</t>
  </si>
  <si>
    <t>Hawkésbury, Lord</t>
  </si>
  <si>
    <t>Lord Hawkésbury</t>
  </si>
  <si>
    <t>on de la Rusiasobre el cumplimiento de lo dispuesto en el artículo io del tratado de Amiens. - ' El Lord Hawkésbury declara sus deseos de satisfacer al honorable miembro comunicando los papeles que pudiese manifestar á 1» Cámara^ no siendo de naturaleza que su obligación le forzase á no hacerlos p</t>
  </si>
  <si>
    <t>ra para rechazar el peligro. Un bilí de subsidios es lo que debe fixar la atención de la Cámara. El Lord Hawkesbury no acepta la transacción que ofrece su honorable amigo, y suplica á la Cámara que resuelva-----Varios vocales toman la voz en pro y en contra.----Procedióse á votar primero sobre</t>
  </si>
  <si>
    <t>te sin cubierta, á pesar de ser et tiempo borrascoso. Inmediatamente se remitieron los despachos al Lord Hawkesbury, que estaba en Coombe, su casa de campo: toda la Secretaría de Estado se puso en movimiento , y se mandaron expresos á los miembros del gobierno que estaban fuera de la ciudad. El</t>
  </si>
  <si>
    <t>probarla en un caballo de ios dragones ligeros, se mandó que todas se hiciesen por aquel modelo. El Lord Hawkesbury, como Ministro de Negocios extrangeros, ha. participado á los Ministros de las potencias neutrales, que en conseqüencia de haber ocupado los franceses una parte de las orillas del</t>
  </si>
  <si>
    <t>ratificarla. El ciud. Talleyrand , Ministro de Relaciones exteriores , escribió en conseqiiencia al Lord Hawkesbury la carta siguiente con fecha de 10 de Junio: „Milord: después de un ligero combate con las tropas de S. M. Británica , el exército francés ocupa el pais de Hannóver. No habiendo teni</t>
  </si>
  <si>
    <t>cias actuales, se ha tratado estos dias en el Parlamento. El 9 llegó de Rusia un correo dirigido al Lord Hawkesbury, y el Embaxador ruso estuvo dos veces á conferenciar con el mismo Ministro, sin que esta circunstancia haya excitado algunas esperanzas de paz envista ae la declaración hecha por</t>
  </si>
  <si>
    <t>ncluye el Monitor) igualmente indignados de la conducta atroz del gobierno ingles y de la carta del Lord Hawkesbury, se han manifestado dispuestos á entrar en el exércíto francés para el desembarco en Inglaterra. P&lt;I f Munich 7 de Julio. or una orden electoral se encarga á las autoridades públi</t>
  </si>
  <si>
    <t>la junta de Subsidios tomase en consideración este mensage, lo que así se acordó. ( El día 22 . el Lord Hawkesbury leyó en la misma Cámara de los Comunes el siguiente mensage del Rey: „Jorge R&lt;y* Habiendo S. M. tenido en consideración la situación de la ilustre casa de Orange, los vínculos de</t>
  </si>
  <si>
    <t>as acertadas; y por último, que no votaba á favor de la propuesta* porque no la creía necesaria. El Lord Hawkesbury. ,,Con respecto al asunto de quefen¡(la actualidad se trata, yo no lo miro baxo un semblante tal como el que le suponen los honorables vocales que acaban de hablar : convengo en q</t>
  </si>
  <si>
    <t>rebelión de Irlanda, y de la situación en que actualmentese halla aquella parte del Reyno-Unido. El Lord Hawkesbury se opuso á la propuesta diciendo que en las presentes circunstancias debían todos reunirse para repeler un enemigo común, y no entrar en discusiones sobre materias en que no se po</t>
  </si>
  <si>
    <t>pel de oficio) se ha publicado lo siguiente: Londres 13 de Agosto» S. M. ha tenido á bien mandar al Lord Hawkesbury , principal Secretario de Estado de S. M. en el departamento de los negocios extrangeros, comunique á los Ministros de las potencias neutras, residentes en esta corte, que de su-R</t>
  </si>
  <si>
    <t>ado, esten autorizados á residir en alguna parte de la Gran Bretaña. Con fecha de 6 de Setiembre el Lord Hawkesbury, principal-Secre^ tario de Estado de negocios extrangeros, ha comunicado de orden, de S. M. á los Ministros de las potencias neutras, la di:-posición que se ha tomado de bloquear</t>
  </si>
  <si>
    <t>e. £ 1 15 del corriente se celebró un consejo de estado de todos los Ministros en la Secretaría dei Lord Hawkesbury. En virtud de haber dado cuenta al gobierno el Cónsul ingles en Bal— tímore que Gerónimo Bonaparte se había embarcado en la goleta la Hormiga, se dió orden para apresar dicha emba</t>
  </si>
  <si>
    <t>Hcbart, Lord</t>
  </si>
  <si>
    <t>Lord Hcbart</t>
  </si>
  <si>
    <t>untóv para que no quedase la menor duda sobre su verdadero sentido: que ha- bia visto una carta del Lord Hcbart, dirigida á losLenientes de las provincias , en la quaLse declaraba ,, que toda parroquia ó distrito que</t>
  </si>
  <si>
    <t>Hedouville, General</t>
  </si>
  <si>
    <t>General Hedouville</t>
  </si>
  <si>
    <t>opla rg de Abril* E ciud. Lepaultre , oficial francés , ha llegado de Petersburgo con despachos del General Hedouville para ?! General Bruñe, Embaxador de la República francesa. Con este motivo se reúne freqiientemente el ministerio otomano , y ha habido muchas conferencias entre el Embaxador fran</t>
  </si>
  <si>
    <t>Hedowille, General</t>
  </si>
  <si>
    <t>General Hedowille</t>
  </si>
  <si>
    <t>nuestro Soberano al convenio celebrado en Paris entre la Francia y la Austria, ha regalado S. M. al General Hedowille , Ministro de la República francesa en esta corte, una soberbia caxa adornada con su retrato , y estimada en 6© pesos fuertes, á la que acompañaban 4© ducados rusos. Otra caxa gua</t>
  </si>
  <si>
    <t>Heller, Carlos</t>
  </si>
  <si>
    <t>Carlos Heller</t>
  </si>
  <si>
    <t>de granaderos D. Antonio Olivares: á Teniente en el Suizo de Betschart al Subteniente de granaderos D. Carlos Heller: en el de Rcding á Capitanes primeros al de granaderos Don Antonio Pedotty y al Capitán segundo D. Juan Waltispiihl; á Capitán segundo al Teniente de granaderos D, Manuel Gerig; ¿</t>
  </si>
  <si>
    <t>HenJique del Pino</t>
  </si>
  <si>
    <t>ha promovido en el regimiento de Milicias disciplinadas de infantería de aquella plaza á Capitán á D. HenJique del Pino, Subteniente.de granaderos; á esta resulta al Subteniente b. Luis Gavilán; á Subtenientes *de bandera á los Cadetes D. Juan Pablo Herrera y D. Francisco López Ganuza ; á Ayudante</t>
  </si>
  <si>
    <t>Henri, Coronel</t>
  </si>
  <si>
    <t>Coronel Henri</t>
  </si>
  <si>
    <t>e de S. M. Británica y y el Contra-Almirante Dekker, Comandante en xefe de la esquadra bátava, y el Coronel Henri, igualmente autorizados por S. E. el Comisario general de</t>
  </si>
  <si>
    <t>Henrique, Príncipe</t>
  </si>
  <si>
    <t>Príncipe Henrique</t>
  </si>
  <si>
    <t>M. de alimentos á sus dos hermanos too3&gt; rixdalers £ cada uno anualmente y sus casas separadas. El Príncipe Henrique* ¿1 mayor de los dos hermanos, ha pedido permiso al Rey para viajar; las bodas del otro Príncipe se celebrarán en Berlín por carnestolendas.</t>
  </si>
  <si>
    <t>Henriqueta, Princesa</t>
  </si>
  <si>
    <t>Princesa Henriqueta</t>
  </si>
  <si>
    <t>eu. Berlín 26 de Febrero. D urante el bayle que daba S. M. el 23 en celebridad del cumpleaños de la Princesa Henriqueta , se sintió la Reyna incomodada , y retirándose, dio á luz una Princesa. Inmediatamente recibió el Rey los parabienes y cumplimientos de estilo. S. M. ha concedido sumas considera</t>
  </si>
  <si>
    <t>Henriquez del Rio de la Canongía, Francisco</t>
  </si>
  <si>
    <t>Francisco Henriquez del Rio de la Canongía</t>
  </si>
  <si>
    <t>orero mayor. . , ’ ‘ Madrid 1g de Setiembre, E l Rey ha venido en admitir, la renuncia que ha hecho D. Francisco Henriquez del Rio de la Canongía de la catedral de Cuenca que goza, reservándole la tercera parte de frutos de ella; y se ha servido nombrar para la citada Canongía y para la Dignidad de Chantre, vacante en la propia c</t>
  </si>
  <si>
    <t>Henriquez, Antonio Vicente</t>
  </si>
  <si>
    <t>Antonio Vicente Henriquez</t>
  </si>
  <si>
    <t>íe Arguello; y para otra de la colegial de Soria, en la diócesis de Osma , vacante por promoción de Don Antonio Vicente Henriquez á la Canongía de Arcipreste de la misma colegial, á D. Matías Fernandez. No habiendo tenido efecto el nombramiento hecho por S. M. por decreto de 26 de Junio último en D. Francisc</t>
  </si>
  <si>
    <t>Henriquez, Juan Antonio</t>
  </si>
  <si>
    <t>Juan Antonio Henriquez</t>
  </si>
  <si>
    <t>elipe el Real, á 2 rs., y en Santiago en la de Varela. Glorias marítimas de España, recopiladas por D. Juan Antonio Henriquez, del Consejo de S. M., su Secretario é Intendente de Marina: tomo i.° en 8.° con lámina. Se hallará en la lonja de Olavarriéta, esquina de la plazuela de Sto. Domingo , á 8 rs. á</t>
  </si>
  <si>
    <t>Herce y Aguilera, Pedro Pablo</t>
  </si>
  <si>
    <t>Pedro Pablo Herce y Aguilera</t>
  </si>
  <si>
    <t>León y en el segundo batallón de Voluntarios de Cataluña á los Cadetes de Reales Guardias Españolas D. Pedro Pablo Herce y Aguilera, y D. Rafael Alcedo y Codallos: á Teniente en el de Aragón á D. Cayetano Scheper, agregado en esta clase al de Ñapóles: á Capitán y segundo Subteniente en el fixo de Ceuta al prim</t>
  </si>
  <si>
    <t>Heredia, Joseph María</t>
  </si>
  <si>
    <t>Joseph María Heredia</t>
  </si>
  <si>
    <t>á Subteniente de bandera en el primer batallón de Voluntarios de Aragón al Cadete del mismo cuerpo D. Joseph María Heredia: á Comandante del primer batallón de Voluntarios de Barcelona al Teniente Coronel D. Joseph Borrellas, Sargento mayor del segundo batallón de Voluntarios de Barcelona; á esta resu</t>
  </si>
  <si>
    <t>Herían, Joaquín</t>
  </si>
  <si>
    <t>Joaquín Herían</t>
  </si>
  <si>
    <t>e corren desde el 4 de este mes. Quien quisiere hacer la enunciada mejora acuda ante el Sr. Alcalde D. Joaquín Herían, y por la escribanía de provincia de D. Miguel García de la Madrid. Con arreglo á los avisos comunicados al publico en los diarios de 4 de Enero, y del mismo , y en la gazeta de l</t>
  </si>
  <si>
    <t>Herirán, Joachín</t>
  </si>
  <si>
    <t>Joachín Herirán</t>
  </si>
  <si>
    <t>de sitio, tasada en 53,134 rs., y se halla puesta en 44® en valés Reales, acuda ante el Sr. Alcalde D. Joachin Herirán, y por la escribanía de provincia de D. Miguel García de la Madrid, previniendo estar señalado para su remate el lúnes 21 del corriente á, las 12 en punto de su mañana. A voluntad</t>
  </si>
  <si>
    <t>Hermenegildo</t>
  </si>
  <si>
    <t>iegos y-en'..finas eras de pan llevar, tasado, todo en. 6.81-,741. rs* 17 mrs. , acuda ante el Sr. D. Hermenegildo^ Rodríguez dé Ribera, del Consejo de S. Mv ,. su Alcaide del crimen de la Real Audiencia y Ghancilleria.de Vailadolid,. por la escribanía de provincia de D. lomas Guerra;. Nuevo d</t>
  </si>
  <si>
    <t>Hermenegildo Rodríguez de Ribera</t>
  </si>
  <si>
    <t>688 de pan trillar, tasado todo en 68ft/41 rs* *7 fnrs. * acuóa ante el Sr. D. Hermenegildo Rodríguez de Ribera, del Consejo de S. M. , su Alcalde del crimen de ía Real Audiencia y Chancillería de Valiadolid, por la escribanía de provincia do D. Tomas Guerra. Hijfla vilía de Cintrúénigo, ré</t>
  </si>
  <si>
    <t>Hermida y Mosquera, Joseph</t>
  </si>
  <si>
    <t>Joseph Hermida y Mosquera</t>
  </si>
  <si>
    <t>D. Francisco Arguelléis, y en el de la Princesa al Sargento primero D. Christóbal Docioy al Cadete D. Joseph Hermida y Mosquera. • • ........' í - ’ ; También en el regimiento de infantería de Soria se ha servido promover el Rey á Subteniente de bandera -al Cadete D. Felipe Fuster: en el segundó batallón d</t>
  </si>
  <si>
    <t>Hermosa, Gaspar</t>
  </si>
  <si>
    <t>Gaspar Hermosa</t>
  </si>
  <si>
    <t>los de segunda clase D. Salvador de Osta y D. Juan de Molina; á Capitanes segundos á los Tenientes D. Gaspar Hermosa, p. Andrés del Rey, D. Christóbal Pomar y D. Joaquín Gómez, y k Tenientes á los Subtenientes D. Martin Zarandia, D. Ramón Gómez, Don Rafael Riesqh, D. Francisco Calderón y D. Luis</t>
  </si>
  <si>
    <t>Hermoso, Juan</t>
  </si>
  <si>
    <t>Juan Hermoso</t>
  </si>
  <si>
    <t>tantos ejemplares de la obra de D. Quixote en pasta ; á saber , los 3 primeros á D. Ramón Berreta , D. Juan Hermoso y D. Santiago Martínez de Heredia como mas sobresalientes: el 4.0 y 5.0 á D. Francisco Perez de Arce y D. Antonio del Campo; y el 6.° se sorteo entre D. Manuel Montemayor, D. Julián M</t>
  </si>
  <si>
    <t>Hernández Bello, Miguel</t>
  </si>
  <si>
    <t>Miguel Hernández Bello</t>
  </si>
  <si>
    <t>o, la propiedad de dicho destino; y para el Corregimiento de Latacumba, de la misma jurisdicción, á D. Miguel Hernández Bello, electo para el expresado de Riobamba. . ■. ) Asimismo se ha servido S. M. nombrar á D. Antonio Serrano, Cirujano de la clase de segundos de la Real armada, para la plaza de Cated</t>
  </si>
  <si>
    <t>Hernández de Gregorio, Manuel</t>
  </si>
  <si>
    <t>Manuel Hernández de Gregorio</t>
  </si>
  <si>
    <t>armacia, ó aplicaciones de los fundamentos de la química moderna á la farmacia en general: su autor D. Manuel Hernández de Gregorio, Boticario de Cámara de S. M.: segunda edición, arreglada á la nueva Farmacopea hispana, aumentada considerablemente con muchos capítulos interesantes, y-sobre: todo en la parte d</t>
  </si>
  <si>
    <t>Hernández Pérez de Larrea, Juan Antonio</t>
  </si>
  <si>
    <t>Juan Antonio Hernández Pérez de Larrea</t>
  </si>
  <si>
    <t>ado los jugadores 382,340 rs. El 21 de Abril de este ano falleció el limo. Sr. Obispo de Vailadolid D. Juan Antonio Hernández Perez de Larrea, caballero de la orden deCarlos ni, á los 72 años, 6 meses y 21 dias de edad, y á los 10 meses de su entrada en esta diócesis. Su muerte ha causado el mayor sentimien-' to á todos</t>
  </si>
  <si>
    <t>y se ha servido nombrar para la Iglesia y Obispado de Valladolíd, vacante por fallecimiento del Sr. D. Juan Antonio Hernández Pérez de Larrea, al Sr. D. Vicente Soto y Vaicarce, Dignidad de Maestrescuela y Canónigo de la catedral de Avila. FJ Rey se ha servido nombrar para una Canongía de la catedral de Segovia, vacante</t>
  </si>
  <si>
    <t>icular á 2 rs., y el estado ó plan general de toda la obra á 8 rs. , , Elogio fúnebre del limo. Sr. D. Juan Antonio Hernández Perez de Larrea, Obispo de Valladolid y Director de aquella Sociedad económica, leído en ella eri junta de 25 de Junio de este año, é impreso por acuerdo de la misma. Se hallará en la librería de</t>
  </si>
  <si>
    <t>Hernández, Antonio</t>
  </si>
  <si>
    <t>Antonio Hernández</t>
  </si>
  <si>
    <t>mas en el arte de curar, que dirige á los jóvenes que empiezan el exercicio práctico de la medicina D. Antonio Hernández, Regente que fué en las cátedras de medicina de la universidad de Valencia &amp;c.: un tomo en 3.° Se hallará en la librería de Barco; en Barcelona en la de Sierra , y en Valencia en</t>
  </si>
  <si>
    <t>Hernández, Francisco</t>
  </si>
  <si>
    <t>Francisco Hernández</t>
  </si>
  <si>
    <t>bién á Subtenientes de bandera al Cadete D. Diego María Aranda, y al Sargento primero de granaderos D. Francisco Hernández; yá Capitán primero en el batallón de Voluntarios de Valencia al Capitán segundo D. Fermín Joseph Baylin. En América. El Rey se na servido nombrar para el Obispado de Puerto-Rico,</t>
  </si>
  <si>
    <t>Hernández, Francisco Bartolomé</t>
  </si>
  <si>
    <t>Francisco Bartolomé Hernández</t>
  </si>
  <si>
    <t>134 en la diócesis de Zamora, vacante por muerte de T&gt;. Bernardo de la-Ru* á D. Francisco Bartolomé Hernández. El Rey ha venido en conceder á D. Joseph Antonio Lafarga , Oidor de la Chanciilería de Valladolid, su jubilación con la mitad clel sueldo de su plaza: para la que resulta vacante</t>
  </si>
  <si>
    <t>Hernández, Gabriel</t>
  </si>
  <si>
    <t>Gabriel Hernández</t>
  </si>
  <si>
    <t>rancisco Salbans; y Subtenencia de bandera’ di Sargento primero de granaderos del propio regimiento D. Gabriel Hernández: en el de la Corona Compañías al Teniente de granaderos de él, graduado de Capitán, D. Joaquín Irache, y al Ayudante del provincial de León, con grado do Capitán, Doñ Mauricio Ren</t>
  </si>
  <si>
    <t>Hernández, Jacinto</t>
  </si>
  <si>
    <t>Jacinto Hernández</t>
  </si>
  <si>
    <t>ncia en la de Mallen: en Zaragoza en la de Monge: en Salamanca en la de Alegría: en Toledo en la de D. Jacinto Hernández: en Segovia en la de D. Domingo de S. Alexandro : en Pamplona en la de la viuda de Tongas : en Alicante en casa de D. Juan Bautista Antoine y compañía : en Valladolid en la librer</t>
  </si>
  <si>
    <t>Hernández, Juan Luis</t>
  </si>
  <si>
    <t>Juan Luis Hernández</t>
  </si>
  <si>
    <t>a Plinojosa, en el obispado de Ciudad-Rodrigo, vacante por fallecimiento de D. Francisco Asensio, á D. Juan Luis Hernández; y para una de las diez Capellanías beneficíales de la iglesia y Real capilla de la Cruz de la ciudad de Náxera, diócesis de Calahorra, vacante, por muerte de D. Luis Fernandez de</t>
  </si>
  <si>
    <t>Hernández, Mateo</t>
  </si>
  <si>
    <t>Mateo Hernández</t>
  </si>
  <si>
    <t>. Luis García Conde: para una Canongía patrimonial de la colegial de Borja, diócesis de Tarazona, á D. Mateo Hernández: para un Beneficio de la parroquia de VÜlafranca del Panadés, diócesis de Barcelona, á,D. Joseph Montagut: para la Abadía del Real monasterio de Sta. María de Amer y Rosas de la C</t>
  </si>
  <si>
    <t>Hernández, Miguel</t>
  </si>
  <si>
    <t>Miguel Hernández</t>
  </si>
  <si>
    <t>y Alférez y Portaes'tandarte del regimiento de Milicias disciplinadas de caballería de la Havana á D. Miguel Hernández y D. Joseph Parreño, Portáéstandarte y Sargento segundo del mismo cuerpo. El precioso descubrimiento de la vacuna, acreditado en España y casi en toda Europa como un preservativo efic</t>
  </si>
  <si>
    <t>Herra, Joaquín</t>
  </si>
  <si>
    <t>Joaquín Herra</t>
  </si>
  <si>
    <t>provincia por su decreto .de .18 del corriente ha aprobado el rem ite celebrado por el Sr. Alcalde D. Joaquín Herra.n, en 4 del mismo, de una huerta de ,8 fanegas, 7 celemines y 1 2 estadales de fierra, con su pozo, estanque, noria v cas i de campo , sita en el arroyo de Abroñiga.I, que p.erte.</t>
  </si>
  <si>
    <t>Herran, Joaquín</t>
  </si>
  <si>
    <t>Joaquín Herran</t>
  </si>
  <si>
    <t>ostura en goS rs. baxo de varias condiciones. Quien quisiere hacer mejora acuda ante el Sr. Alcalde D. Joaquin Herran, y por la escribanía de provincia de D. Miguel Joseph García de la Madrid; previniendo se halla señalado para su remate mañana 4 del corriente. Catéchisme historique, contenant en</t>
  </si>
  <si>
    <t>es superficiales, tasada en 53,134 rs., que se venden juntas ó separadas, acuda ante el Sr. Alcalde Don Joaquín Herran, y por' la escribanía de Provincia dé D, Miguel Joseph García de</t>
  </si>
  <si>
    <t>arreglo á las RealesK irstruccic nes. Quien quisiere hacer postura á ella acuda ante el Sr. Alcalde Don Joaquín Herran, y por la escribanía de .provincia de D&gt;-Miguel Jioseph García .Madrid-, dentro del término de 3Q días;, contado^ desde, el 6 de este.mes. El ganadero estante que quisiere arrenda</t>
  </si>
  <si>
    <t>, con 1805^ píes también qúadrados superficiales, valuada en 14^ &gt;g rs., acuda ante el Sr. Alcalde D. Joaquín Herran, y por la escribanía de provincia de D. Miguel Jo seph García de la Madrid en el término de 30 días, contados desde el i 5 del corriente. En virtud de providencia de los Sres. del</t>
  </si>
  <si>
    <t>s Reales. Quien quisiere hacer mejora á ambas ó á cada una con separación acuda ante el Sr. Alcalde D. Joaquín Herran, y por la escribanía de D. Miguel García de la Madrid dentro del término dje 15 dias contados desde 14 del corriente. Se solicita saber el paradero de D. Pedro Joseph Cónsul Jove,</t>
  </si>
  <si>
    <t>Herrera, Juan Pablo</t>
  </si>
  <si>
    <t>Juan Pablo Herrera</t>
  </si>
  <si>
    <t>granaderos; á esta resulta al Subteniente b. Luis Gavilán; á Subtenientes *de bandera á los Cadetes D. Juan Pablo Herrera y D. Francisco López Ganuza ; á Ayudante mayor al Teniente veterano D. Juan Meló, y á esta resulta á D. Antonio Sánchez,Sargento primero veterano, todos del mismo eyerpo: en el de Mil</t>
  </si>
  <si>
    <t>Herreros, Bartolomé</t>
  </si>
  <si>
    <t>Bartolomé Herreros</t>
  </si>
  <si>
    <t>la villa del Mirón, en la diócesis de Avila, vacante por muerte de Don Ghristóbai de la Esquina , á D. Bartolomé Herreros: para las PreStameras de Constanzana y -S» Vicente, en la misma diócesis de Avila, vacantes por fallecimiento de D. Cosme García Parro, á D. Gregorio López: para el Arciprestazgo</t>
  </si>
  <si>
    <t>Hertling</t>
  </si>
  <si>
    <t>s nuevos estados de Siiabia. Se le preparaba un magnífico recibimiento; pero dos dias antes publicó Mr. Hertling una orden del Príncipe en que prohibía formalmente lo recibiesen con solemnidad. Llegó sin mas compañía que un ayuda de cámara y dos criados: fue á apearse á una posada, y por la</t>
  </si>
  <si>
    <t>Heyne</t>
  </si>
  <si>
    <t>letras* y á los sabios de todos los países.”__ El mismo Ministro de Guerra ha escrito otra carta á Mr. Heyne, asociado al Instituto nacional, en que le manifiesta el aprecio que merece á los franceses la universidad de Gce</t>
  </si>
  <si>
    <t>Hez</t>
  </si>
  <si>
    <t>su peso. La aguja de marear empezó á moverse. Por medio de un instrumento ingenioso, inventado por Mr. Hez, encerró con azogue 4 pulgadas del ayre que le rodeaba , y señaló en el tubo el punto de unión del ayre y del azogue. Luego que baxó á tierra notó que este último ocupaba toda la</t>
  </si>
  <si>
    <t>Hidalgo y Morales, Tomás</t>
  </si>
  <si>
    <t>Tomás Hidalgo y Morales</t>
  </si>
  <si>
    <t>mismo de arquitectura á D. Joseph Pastor, y otro igual á D. Francisco Arenas._El único de grabado á D. Tomas Hidalgo y Morales de una medalla de plata de ocho onzas._El de primera clase de figuras de una me</t>
  </si>
  <si>
    <t>Hidalgo, Joaquín Francisco</t>
  </si>
  <si>
    <t>Joaquín Francisco Hidalgo</t>
  </si>
  <si>
    <t>as con parte de la costa firme hasta Cumaná, por D. Cosme Churruca , Brigadier de la Real Armada, y D. Joaquín Francisco Hidalgo, Capitán de Navio de ella. — La exactitud de los métodos de que han hecho uso estos Oficiales en su trabajo, obliga á mirar esta carta como una de las mejores producciones hidrogr</t>
  </si>
  <si>
    <t>Hidalgo, Joseph</t>
  </si>
  <si>
    <t>Joseph Hidalgo</t>
  </si>
  <si>
    <t>lar, D. Fernando Saravia y D. Joseph Diez Texada, y á Te-r nientes de Maestranza á los Subtenientes D. Joseph Hidalgo, D. Luis Sotomayor y D. Juan Calixto de Ojéda. El Rey se ha servido nombrar para la plaza del Consejo Real, vacante por separación del Sr. D. Antonio Alarcon , al Sr. D. Francisco</t>
  </si>
  <si>
    <t>Higínio</t>
  </si>
  <si>
    <t>eniente de granaderos al de fusileros Don Andrés Kiss; á Tenientes á los Subtenientes de granaderos D. Higínio ligarte y D. Joseph Moral; á Subtenientes de granaderos á los de fusileros D. Manuel Adan y D. Hilario Figueroa, y á Subtenientes de bandera á los Cadetes D. Luis Calatayud, D. Jo</t>
  </si>
  <si>
    <t>Higinío Antonio Loreníe</t>
  </si>
  <si>
    <t>ó tratado de Medicina legal y de higiene pública,y defectos notables de la traducción. Los publica Don Higinío Antonio Loreníe , Médico honorario de cámara de S. M., y catedrático de química del Real estudio de medicina práctica: quaderno 4.0 Se hallará con los anteriores en la librería de Calleja , calle</t>
  </si>
  <si>
    <t>Higinio Antonio Lorente</t>
  </si>
  <si>
    <t>n papel. Elementos de. química, escritos en francés por el ciud. J.&lt; A.. Chaptal, traduci-. dos por D. Higinio Antonio Lorente , Médico honorario de Cámara de S. M. : segunda impresión, adicionada y corregida por la tercera y última de su original francés ; las adíe iones se darán, sueltas; para los. que</t>
  </si>
  <si>
    <t>Hilario Figueroa</t>
  </si>
  <si>
    <t>ranaderos al de fusileros Don Patricio Prieto; á Teniente de fusileros al Subteniente de granaderos Don Hilario Figueroa ; á Subteniente de granaderos al de fusileros D. Pedro Gongora; á Subtenientes de bandera á los Cadetes D. Joseph Michelena y D. Joseph Frontaura , y á Ayudantes á los Tenientes d</t>
  </si>
  <si>
    <t>Hilario Serrano</t>
  </si>
  <si>
    <t>misma diócesis: para una Pabordía Penitenciaria de la catedral de Menorca , vacante por renuncia de D. Hilario Serrano, á D. Manuel Cillero é Izquierdo; y para otra también Penitenciaria .de la misma catedral , vacante por fallecimiento de D. Miguel Quadrado, á D. Andrés Sans. El Rey se ha servido</t>
  </si>
  <si>
    <t>Hilarión Joseph de Lorien</t>
  </si>
  <si>
    <t>os D. Miguel Hurtado; y Subtenencia de bandera en él de Africa al Cadete de Reales Guardias Walonas D. Hilarión Joseph de Lorien. También ha conferido S. M. grado de Capitán de infantería al Ayudante del regimiento Suizo de Ruttiman D. Antonio Schwager. Asimismo se'ha dignado S. M. conferir Capellanía en el</t>
  </si>
  <si>
    <t>Hipólito</t>
  </si>
  <si>
    <t>ia médica de Madrid , y se ilustra nuevamente con notas y ,con la estampa de la planta por su autor D. Hipólito. Ruiz, primer Botánico de la expedición del Perú, agregado al.Real jardín botánico deMadrid, Académico numerario de.dicha Academia, y actual Secretario dél Real colegio de Boticar</t>
  </si>
  <si>
    <t>Hipólito Estevez</t>
  </si>
  <si>
    <t>sus proporciones, de, an■geolcgia y de hipposteologia, á cargo, el primer dia, del segundo director D. Hipólito Estevez; y los otros dos del profesor D. Antonio Bovadilla. Fueron presididos por el Brigadier D. Félix Colon de Larreátegui, protector de este establecimiento; y diéron principio por una</t>
  </si>
  <si>
    <t>Hipólito Ruiz</t>
  </si>
  <si>
    <t>pasta 48 rs. Suplemento á la Quinologia, ó tratado de los quinos , publicada en el año de 1792 por D. Hipólito Ruiz, en el qual se contienen las especies nuevas descubiertas en el Perú, y la quina anaranjada de Santa Fe, con su estampa. Esta obrita, que e&gt; continuación de aquella primera origin</t>
  </si>
  <si>
    <t>Hirn</t>
  </si>
  <si>
    <t>11$ Consiguientes á este uso se presentaron las damas en casa de Mr. Hirn, Obispo de Turnay, el dia i.° de Enero de 1803 ; pero este prelado creyó conveniente proceder de diferente modo, y se limitó á pronunciar un discurso que en substancia es como sig</t>
  </si>
  <si>
    <t>Hirsinger</t>
  </si>
  <si>
    <t>ha publicado aquí una carta dei Ministro de Relaciones exteriores cieFrancia al ciud. Hirsinger, residente en esta ciudad, relativa á las disposiciones del senado-consulto del 6 FU real, año x, acerca de Jos emigrados , á iin de conciliar la sumisión , á</t>
  </si>
  <si>
    <t>Hoba-rt, Lord</t>
  </si>
  <si>
    <t>Lord Hoba-rt</t>
  </si>
  <si>
    <t>y censurándola en otros, fué dé parecer que se difiriese el examen. ,,Nada de dilación, replicó el Lord Hoba-rt, es preciso que se nos juzgue.” El Lord Grenvillé hizo un largoy enérgico discurso, manifestando la necesidad de censurar la conducta de los Ministros. Procedióse á votar, y la pr</t>
  </si>
  <si>
    <t>Hobart, Lord</t>
  </si>
  <si>
    <t>Lord Hobart</t>
  </si>
  <si>
    <t>. . ; ... &gt; . • . Lóndres 2% de Junio. ■ E n la junta de la Cámara de los Pares; el 20, propuso el Lord Hobart «e hiciese un discurso de gracias á S. M. por su benignísimo mensage relativo á la defensa del pais. Cree su Señoría que las disposiciones que se han‘propuesto., no solo bastan á</t>
  </si>
  <si>
    <t>otros, puedan ser sacados para completar los regimientos de línea, y hacer el servicio general.” £1 Lord Hobart dixo que no podía acceder á la enmienda propuesta por el ilustre Duque, por ser contraria ai principio fundamental del bilí, que era que el exército de que se trata debía ser sola</t>
  </si>
  <si>
    <t>sus servicios que hizo un ilustre personage.__ Entrando después en varios por menores militares, el Lord Hobart le interrumpe diciendo que si ha de continuar, es menester que se mande salir la gente de la galería-----Después se votó sobre la proposición del Conde de Suffolk, y se desestimó.</t>
  </si>
  <si>
    <t>ve por la relación oficial, publicada en la gaceta extraordinaria de Londres de 16 de este mes. El Lord Hobart ha publicado el proyecto de un armamento, marítimo , en el que exhorta á los pueblos ae la costa á equipar barcas cañoneras para su seguridad ,\y á reunir á las milicias Ips indiv</t>
  </si>
  <si>
    <t>Holenberg, Capitán</t>
  </si>
  <si>
    <t>Capitán Holenberg</t>
  </si>
  <si>
    <t>para convoyar hasta Inglaterra las embarcaciones mercantes que se encuentren en este puerto. .— El Capitán Holenberg, constructor lamoso, acaba de hacer un navio de forma nueva, de 90 cañones, con dos puentes; tiene de 18 á 19 piezas en cada batería; se le nombrará Christiano vn, y se botará al</t>
  </si>
  <si>
    <t>Holsmaistre</t>
  </si>
  <si>
    <t>perecido, y son poquísimos en los que no prendió la inoculación. Para completar la prueba ha hecho Mr. Holsmaistre inocular ©tros 1©, que puestos entre los contagiados, no han contrahido el mal. Ratisbona 21 de Febrero. L as juntas de la diputación continúan con el mayor empeño. En los dias 15</t>
  </si>
  <si>
    <t>Hoope</t>
  </si>
  <si>
    <t>M r. Thorvaldson, escultor dinamarqués establecido en esta ciudad, ha hecho por encargo del ingles Mr. Hoope, una estatua colosal de Jason, que al parecer de los¡ inteligentes iguala á las mejores obras del célebre Canovai .r-: ,Á , * ?,r:1 Bruselas 2$ de Agosto, • ; - 1 1 L os preparati</t>
  </si>
  <si>
    <t>Horme Salet, Antonio</t>
  </si>
  <si>
    <t>Antonio Horme Salet</t>
  </si>
  <si>
    <t>ar del traslado qué tienen pendiente en dichos autos D. Antonio Garly , Mr. Gasin,como apoderado de D. Antonio Horme Salet, Doña Vicenta Gomet, como heredera de D. Juan Bautista 'Fabrega, Doña Isabel de la Plaza y Doña María Magdalena Chipa , como viuda» y heredera de D. Pedro Abacin, se hace saber á</t>
  </si>
  <si>
    <t>Hornillos, Pedro</t>
  </si>
  <si>
    <t>Pedro Hornillos</t>
  </si>
  <si>
    <t>go de Cebico de la Torre, en la misma diócesis de Palencia, vacante por muerte del citado Miñano, á D. Pedro Hornillos: para el Beneficio de la iglesia de Santiago de la villa de Constantina, en la diócesis de Sevilla, vacante por fallecimiento de D. Joseph Alaría Leal de Ibarra, á D. Tomas Sánche</t>
  </si>
  <si>
    <t>Horruitiner, Joaquín</t>
  </si>
  <si>
    <t>Joaquín Horruitiner</t>
  </si>
  <si>
    <t>n al Teniente de granaderos D. Joseph Fernandez del Cueto; á Teniente de granaderos al de fusileros D. Joaquín Horruitiner; á Tenientes á los Subtenientes de granaderos D. Rafael Gavino de Zequeyra y D.Ignacio Loysel; á Subtenientes de granaderos á los de fusileros D. Francisco Acosta y D. Ramón Caste</t>
  </si>
  <si>
    <t>Htginio Antonio Lorente</t>
  </si>
  <si>
    <t>s Ilustradas por las ciencias físicas , ó tratado de medicina legal y de higiene publica Sec. : por D. Htginio Antonio Lorente: quadenios 4.0 y 5.0 Se hallarán con los anteriores en la librería de Calleja , calle angosta de Majaderitos, á 3 rs. cada uno en rústica. Breves meditaciones sobre los novísimos,</t>
  </si>
  <si>
    <t>Huerta y Laredo, Joseph Antonio</t>
  </si>
  <si>
    <t>Joseph Antonio Huerta y Laredo</t>
  </si>
  <si>
    <t>n Alexo de Arizmendi: para la Dignidad de Chantre de la catedral de Truxillo, vacante por muerte de D. Joseph Antonio Huerta y Laredo, á D. Agustín de Simancas, Canónigo mas antiguo de la propia catedral: para esta Canongía al Racionero D. Antonio Román Mesones: para esta resulta al Medio-Racionero D. Francisco</t>
  </si>
  <si>
    <t>Huguet, Pedro</t>
  </si>
  <si>
    <t>Pedro Huguet</t>
  </si>
  <si>
    <t>...... D. Vicente Perez de Tejada. En Zaragoza....... D. Tomas de la Madrid. En Zeuta.............. D. Pedro Huguet, comisionado subalterno del de Cádiz. El Consejo, á consulta de la Comisión gubernativa de Consolidación de Vales, y con aprobación de S. M., ha acordado la quinquagesimaprima amo</t>
  </si>
  <si>
    <t>........ D. Vicente Perez de Tejada. En Zaragoza........ D. Tomas de la Madrid. En Zeuta........... D. Pedro Huguet, comisionado subalterno del de Cádiz. El Consejo, a consulta de la Comisión gubernativa de Consolidación de Vales , y con aprobación de S. M., ha acordado la quinquagesimasexta am</t>
  </si>
  <si>
    <t>.. D. Vicente Perez de Tejada. En Zaragoza......... D. Tomas de la Madrid. En Zeuta................ D. Pedro Huguet, comisionado subalterno del de Cádiz. Asimismo los tenedores de Vales* dinero de la Real Tesorería de Consolidación, correspondientes á la misma creación de Enero, acudirán á pres</t>
  </si>
  <si>
    <t>Hultman</t>
  </si>
  <si>
    <t>irmado últimamente en Berlín, entre el Ministro prusiano Conde de Haugwitz y ei ciud. Hultman. Créese que no ocuparán nuestras tropas este territorio , hasta que esten concluidos definitivamente los asuntos dei Imperio germánico. Basilea 14 de Diciembre</t>
  </si>
  <si>
    <t>Humboldt, Alexandro (barón)</t>
  </si>
  <si>
    <t>Barón Alexandro Humboldt</t>
  </si>
  <si>
    <t>e Vales.” Anales de Ciencias naturales. Núm. xvrir. Contiene: Extracto de las últimas cartas que el Barón Alexandro Humboldt escribió á su hermano: extracto de otra carta que el mismo escribió á D. Antonio Joseph Cavanilles: nuevos experimentos para conservar las plantas secas: del Buyo: noticias sobre el</t>
  </si>
  <si>
    <t>Hurtado, Miguel</t>
  </si>
  <si>
    <t>Miguel Hurtado</t>
  </si>
  <si>
    <t>ervido conceder Tenencia en el regimiento de infantería de Guadalaxara al Subteniente de granaderos D. Miguel Hurtado; y Subtenencia de bandera en él de Africa al Cadete de Reales Guardias Walonas D. Hilarión Joseph de Lorien. También ha conferido S. M. grado de Capitán de infantería al Ayudante</t>
  </si>
  <si>
    <t>Hutchinson</t>
  </si>
  <si>
    <t>ascenderán casi al doble de lo calculado. Si esto es así, como 1® teme, ¿qué tenemos que esperar?__ Mr. Hutchinson hizo algunas observaciones sobre lo que se habia dicho acerca del estado de Irlanda, y la disposición de sus habitantes, que asegura estarán prontos y dispuestos á la defensa de e</t>
  </si>
  <si>
    <t>á tener efecto. Por último, después de algunos cortos debates de una y otra parte, la propuesta de Mr. Hutchinson se desestimó á pluralidad de votos. Ayer vino el Rey á la Cámara de los Pares con sus vestiduras Reales, y luego que estuvo sentado sobre su trono se presentaron los Comunes en la</t>
  </si>
  <si>
    <t>Hutchinson, Coronel</t>
  </si>
  <si>
    <t>Coronel Hutchinson</t>
  </si>
  <si>
    <t>a Cámara de los Comunes se suscitó antes de ayer un debate relativo al estado actual de Irlanda. EL Coronel Hutchinson empezó A hablar llamando la atención de la Cámara hacia la desgraciada -itua-don en que en la actualidad se halla una parte del Reyno-Unido de S. M. Dixo que no era del mismo modo d</t>
  </si>
  <si>
    <t>Ibáñez de la Rentería, Juan</t>
  </si>
  <si>
    <t>Juan Ibáñez de la Rentería</t>
  </si>
  <si>
    <t>P ara una plaza de Ministro de capa y espada del supremo Consejo de la Guerra ha nombrado el Rey á D. Juan Ibañez de la Rentería, Secretario del mismo Consejo; y para esta resulta á D. Francisco Antonio Diz , Oficial mayor segundo de la Secretaría de Estado y del Despacho universal de la Guerra. El Rey ha c</t>
  </si>
  <si>
    <t>Ibáñez de Leyva, Francisco</t>
  </si>
  <si>
    <t>Francisco Ibáñez de Leyva</t>
  </si>
  <si>
    <t>ncia de Extremadura : para la que por dicha traslación resulta vacante en esta de la propia clase á D. Francisco Ibañez de Leyva, Oidor de la expresada Chanciilería; y para la de Alcalde del Crimen, que se halla vacante en la referida Audiencia de Extremadura, á D. Pedro Rodríguez Cela. También ha nombrado</t>
  </si>
  <si>
    <t>Ibáñez de Navarra, Luis</t>
  </si>
  <si>
    <t>Luis Ibáñez de Navarra</t>
  </si>
  <si>
    <t>ileros en los de Murcia, Granada, Chinchilla, Córdoba, Cuenca,. Xerezy Truxillo, á los Subtenientes D. Luis Ibañez de Navarra, D. Francisco García Orozco, Don Juan de Dios Carcelen, D. Rodrigo González, D. Joseph de Aulestia, D. Juan Gómez, D. Rafael Sopranis y D. Diego Bobadilla: á Subtenientes de grana</t>
  </si>
  <si>
    <t>Ibáñez, Antonio</t>
  </si>
  <si>
    <t>Antonio Ibáñez</t>
  </si>
  <si>
    <t>o Castañon: para la Dignidad-de.Cliantre-de la catedral de Santander, vacante por fallecimiento: de D. Antonio Ibañez , i D. Juan Francisco Gutiérrez Valdés: para la Canongía, que este obtiene en la misma iglesia y resultará vacante, á D. Francisco Sagarminaga: para el Benéñcio simplei de Castril</t>
  </si>
  <si>
    <t>Ibarra, Agustín</t>
  </si>
  <si>
    <t>Agustín Ibarra</t>
  </si>
  <si>
    <t>ena al Brigadier D. Joseph Montes Salazar, y á Coronel y Comandante de la artillería de la Havana á D. Agustín Ibarra, Teniente Coronel del expresado cuerpo. S. M. se ha servido conceder la Capellanía del tercer batallón del regimiento de infantería de Cantabria al presbítero D. Francisco Merino.</t>
  </si>
  <si>
    <t>Ibarra, Francisco</t>
  </si>
  <si>
    <t>Francisco Ibarra</t>
  </si>
  <si>
    <t>tán , graduado de Teniente Coronel, D. Plácido Aguado^ y Compañía al Ayudante, graduado dé Capitán, D. Francisco Ibarra;: en el de España Compañías á los Ayudantes D. Florencio Amaya y Dóh Juan Casteras; Ayudantías á los primeros Tenientes reformados D. Joseph Correa y D. Juan Arenas: en el de Alga</t>
  </si>
  <si>
    <t>Ibarrola, Antonio</t>
  </si>
  <si>
    <t>Antonio Ibarrola</t>
  </si>
  <si>
    <t>. Juan Oromi; como á D. Joseph y D. Pedro Aguado, Tenientes! dei regimiento provincial de Cuenca, á D. Antonio Ibarrola, D. Lorenzo Medrano y Treviño , D. Francisco Romo y Gamboa, Subtenientes de los de Avila,Ciudad-Real y Sigüenza, y á D. Felipe Oviedo, que lo filé' del de Toledo. En los regimient</t>
  </si>
  <si>
    <t>Ibarrola, Pablo</t>
  </si>
  <si>
    <t>Pablo Ibarrola</t>
  </si>
  <si>
    <t>varias advertencias sobre la Memoria que con el título de original y al mismo intento ha dado á luz D. Pablo Ibarrola, y una Adición en respuesta á la vindicta últimamente publicada por el Br. Porras Machaca: por D. Agustín Pelaez, primer ayudante del cirujano mayor de los Reales exéícitos. Se ha</t>
  </si>
  <si>
    <t>Iberrí, Nicolás</t>
  </si>
  <si>
    <t>Nicolás Iberrí</t>
  </si>
  <si>
    <t>a servido el Rey promover á Sargento mayor al Capitán de granaderos, graduado de; Teniente Coronel, D. Nicolás Iberrí., y á Capitán de .granaderos al de fusileros D. Juan Eraso. : El Rey se ha dignado conceder el empleo de Subteniente de bandera en el batallón veterano de infantería de Castilla d</t>
  </si>
  <si>
    <t>Iberríj, Nicolás</t>
  </si>
  <si>
    <t>Nicolás Iberríj</t>
  </si>
  <si>
    <t>ría de la Corona deNuevar España se ha servido ed Rey promover á Teniente Coronel al Sargento mayor D. Nicolás Iberríj á Teniente de granaderos al de fusileros Don Patricio Prieto; á Teniente de fusileros al Subteniente de granaderos Don Hilario Figueroa ; á Subteniente de granaderos al de fusiler</t>
  </si>
  <si>
    <t>Icaza y Cabré, Joseph</t>
  </si>
  <si>
    <t>Joseph Icaza y Cabré</t>
  </si>
  <si>
    <t>o Britot para una Canongía Magistral de la misma- catedr^Ld’e Canaria, vacante por fallecimiento de D. Joseph Icaza y Cabré jas, áD/Juan Navarro, Racionero de ella: para otra Canongía de la catedral de Avila, vacante por promoción de D. Vicente Soto Valcarce á la Mi</t>
  </si>
  <si>
    <t>Iglesias Barrantes, Joseph</t>
  </si>
  <si>
    <t>Joseph Iglesias Barrantes</t>
  </si>
  <si>
    <t>Julio. E n el Real cuerpo de Ingenieros del exército ha’nombrado S. M. Tenientes á los Subtenientes D. Joseph Iglesias Barrantes, D. Manuel Morete, D. Roque Cilleruelo y D. Sebastian de S. Juan; y Subtenientes á D. Andrés Rodríguez, D. Manuel Zapatero, que lo éran del regimiento de infantería de España y de</t>
  </si>
  <si>
    <t>Ignacia Idiaquez y Palafox, María</t>
  </si>
  <si>
    <t>María Ignacia Idiaquez y Palafox</t>
  </si>
  <si>
    <t>dores 502,416 rs. El día 28 de Enero último falleció á los 50 años y 20 dias de edad la Excma. Sra. Doña María Ignacia Idiaquez y Palafox, Condesa de Motezuma viuda, Marquesa de Villagarcía y de, Tenebron &amp;c. &amp;c., Grande</t>
  </si>
  <si>
    <t>IgnacioMoreto</t>
  </si>
  <si>
    <t>orgó en la ciudad de Panamá, en la América meridional, por el año de 1787, declaró estar debiendo á D. IgnacioMoreto,vecino del mismo pueblo, ó á sus albaceas y herederos, la cantidad de 400 pesos fuertes, procedentes de varios efectos que le dió en empréstito, sin escritura ni otra obligación,</t>
  </si>
  <si>
    <t>Ignae</t>
  </si>
  <si>
    <t>áD. Miguel Cray Vinquel y Zuleta-. para el Priorato déla catedral de Guadix , vacante por muerte de D. Ignae o Cairasco , a D. Andres de A naya y Ribas: para la Dignidad de Tesorero de la colegial de Cervatos, en la diócesis de Búrgos, vacante por fallecimiento de D. I rancisco Antonio d</t>
  </si>
  <si>
    <t>Igr</t>
  </si>
  <si>
    <t>Zaragoza al Subteniente de granaderos D. Joaquín Ramón Cabero; y á Subteniente de bandera al Cadete D. Igr nació Lavilla Gandarillas: á Subteniente de bandera en el primer batallón de Voluntarios de Aragón al Cadete del mismo cuerpo D. Joseph María Heredia: á Comandante del primer bata</t>
  </si>
  <si>
    <t>Igrfacfo</t>
  </si>
  <si>
    <t>to de D. Igrfacfo ^íilagro, á Dv Marcos Ramón de Arana t para; un Beneficio de la metropoUtana de Tarragona^ á DvMagín,Escola para otro _de la. catedral de Gerona á D. Ramón Comas: para otro de la</t>
  </si>
  <si>
    <t>Igual de Soria, Lorenzo</t>
  </si>
  <si>
    <t>Lorenzo Igual de Soria</t>
  </si>
  <si>
    <t>vacante por fallecimiento del limo. Srv D. Joseph González Laso Santos de rSan.Pedro , al limo. Sr. D. Lorenzo Igual de Soria, Obispo de Pamplona; y para el de Jaca, vacante por muerte del R. ,D. Fj. Joseph Antonio López Gil, al R. P.Er. Lorenzo Alaguero, del orden de S. Gerd'itím-o&lt;.L .U:. v . ..i! .• '</t>
  </si>
  <si>
    <t>go de la catedral de Lérida *, y para el de Pamplona, vacante también por translación del limo. Sr. D. Lorenzo Igual de Soria á la Iglesia y Obispado de Plasenciaj al R. P. Fr. Veremundo Arias y Texeyro, de la orden de S. Benito, Conventual.en el de Salamanca, y Catedrático de Prima de Teología jubilado</t>
  </si>
  <si>
    <t>III, Carlos</t>
  </si>
  <si>
    <t>Carlos III</t>
  </si>
  <si>
    <t>cesis, del Consejo de S. M. y Caballero pensionado de la Real orden española de Carlos III. Siendo solamente Arcediano de aquella iglesia por haber renunciado su Canonicato y demas rentas que poseía, estableció</t>
  </si>
  <si>
    <t>Cotejo puntual</t>
  </si>
  <si>
    <t>Ildefonso Gómez Ramírez Limón</t>
  </si>
  <si>
    <t>ombrar para la Canongía Magistral de la catedral de Valladolid de Mechoacan, vacante por ascenso de D. Ildefonso Gómez Ramírez Limón á la Maestrescolía de ella, á Don Joseph de la Peña Campuzano, Cura del pueblo de Penjamo; y para la Canongía Lectoral de la iglesia de Cuba , vacante por muerte de D. Joseph Nico</t>
  </si>
  <si>
    <t>Iliscio Fernández, Lucas</t>
  </si>
  <si>
    <t>Lucas Iliscio Fernández</t>
  </si>
  <si>
    <t>iberri, Alcalde del Crimen de la misma Audiencia de la Coruña. Para las plazas del Crimen de ella á D. Lucas Iliscio Fernandez, D. Francisco Fernandez dej Pino y D. Francisco Martínez de Galinsoga.” ,,Para la Fiscalía de Ja Audiencia de Canárias , vacante por separación de D. Joseph María Zuaznavar, nombr</t>
  </si>
  <si>
    <t>ILngué, Antonio</t>
  </si>
  <si>
    <t>Antonio ILngué</t>
  </si>
  <si>
    <t>j'o de Juan y de Magdalena, natu-q } ral de Casteilét en Cataluña, Cor- í 3.a.. Antonio ILngué. \ regimiento de ídem. Murió en 5 de j 5*L Febrero de 95..................................j pFIijo de Antonio y de Teresa, naturalq f del Cober en Cataluña, dépendien- í 3.a.. Josef Puig. 68. 3 j te del Corregimiento de</t>
  </si>
  <si>
    <t>Ilorner, Gaspar</t>
  </si>
  <si>
    <t>Gaspar Ilorner</t>
  </si>
  <si>
    <t>de poner en planta en el país de Zurich los principios establecidos por el institutor de BurgdorfF. Mr. Gaspar Ilorner, de Zurich, ha ido en calidad de astrónomo en la expedición rusa que ha de dar vuelta al mundo. Se ha notado con este motivo que Mr. Weher, que en calidad de pintor acompañó al cé</t>
  </si>
  <si>
    <t>Imaz, Joseph</t>
  </si>
  <si>
    <t>Joseph Imaz</t>
  </si>
  <si>
    <t>Sargentos mayores de los mismos regimientos, graduados de Tenientes Coroneles, D. Pedro Labastida, D. Joseph Imaz, D. Antonio Moya, D. Antonio Luxan, D. Luis Bertrán, D. Nicolás Darcourt, D. Francisco de Corts, D. Cárlos Fitzgerald, D. Juan Brikdale, D. Juan O-Donovan, D. Juan Ponce de León ,</t>
  </si>
  <si>
    <t>Ines de Memige, Vicente</t>
  </si>
  <si>
    <t>Vicente Ines de Memige</t>
  </si>
  <si>
    <t>la colegiata de Logroño: para una Media-Ración de la metropolitana de Manila, vacante por muerte de D. Vicente Ines de Memige, al ‘Presbítero D. Tomas Francisco Casañas: para la Ración dé la propiá metropolitana á que fue promovido el referido Memige á D.1 Sebastian Rodríguez Xaramillo, Medio-Racionero d</t>
  </si>
  <si>
    <t>Iniesta, Antonio</t>
  </si>
  <si>
    <t>Antonio Iniesta</t>
  </si>
  <si>
    <t>una razón de los permisos que liúbie^ ren dado y de la cantidad de cada una. Y de Real órden &amp;c. A D. Antonio Iniesta, fabricante de albayalde en Murcia, se ha dignado el Rey concederle el uso de las armas Reales para su fábrica. A D. Arístides Franklin y Anjoubault Mornay se ha servido el Rey co</t>
  </si>
  <si>
    <t>Iñigo López de Mendo</t>
  </si>
  <si>
    <t>a cOn los anteriores en la librería de Castillo. Xa nueva edición de los proverbios ó sentencias de D. Iñigo López de Mendo-; za, sé hallará en la librería de Castillo á ó rs. en rustica y 8 en pasta : un tomo «n i 2.°; Van puestas al fin las coplas de D. Jorge Manrique. En esta edición se ha procurado</t>
  </si>
  <si>
    <t>Iñiguez de Beortegui, Ramón</t>
  </si>
  <si>
    <t>Ramón Iñiguez de Beortegui</t>
  </si>
  <si>
    <t>es de Intendente’de exérejto.; En atención á los dilatados servicios , avanzada edad y achaques de, D. Ramón Iñiguez de Beortegui , Oidor del Consejo de Navarra , ha venido S. M. en concederle su jubilación con todo el sueldo de su plaza; para la que resulta vacante de Oidor en el mismo Conjsejo por esta* ju</t>
  </si>
  <si>
    <t>Inocencio de Llano, Joseph</t>
  </si>
  <si>
    <t>Joseph Inocencio de Llano</t>
  </si>
  <si>
    <t>ecitó'una poesía1 gratulatoria, y dixo otra en el de las niñas Doña Ramona Blanc. Continuó el socio D. Joseph Inocencio de Llano , secretario de la -asociación de eomboyes, leyendo la relación histórica de este establecimiento desde el año 1S01 hasta su feliz terminación. Don Francisco Bahamonde, socio de n</t>
  </si>
  <si>
    <t>r el comercio directo con las Américas, que remitió de S. Felipe el socio D. Estéban Chaix , y leyó D. Joseph Inocencio de Llano. Madrid jo de Diciembre. P or Escribanía de Cámara y de Gobierno del Consejo Real se ha comunicado con fecha de 10 de este mes la circular siguiente: ,,Con fecha de 28 de Noviembr</t>
  </si>
  <si>
    <t>Inspector, Luis (archiduque)</t>
  </si>
  <si>
    <t>Archiduque Luis Inspector</t>
  </si>
  <si>
    <t>rvando las ventajas que aquel metal tiene sobre los demas. Viena 28 de Abril. S . M. ha nombrado al Archiduque Luis Inspector general de las fronteras___ S. A. el Archichanciller del Imperio ha enviado á esta capital un Plenipotenciario, que ya ha tenido audiencia del Emperador. Se cree que su objeto es</t>
  </si>
  <si>
    <t>Intendente Corregidor</t>
  </si>
  <si>
    <t>idad de esta ciudad y provincia de Valladolid , que el Sr. D. Pascual Vallejo , Intendente Corregidor de ella, halló al entrar‘á servir este empleo, haberse propuesto á la Real Sociedad económica dé la misma por uno de sus individuos en un discurso lleno de buenos p</t>
  </si>
  <si>
    <t>Ipsiianti, Príncipe</t>
  </si>
  <si>
    <t>Príncipe Ipsiianti</t>
  </si>
  <si>
    <t>el Diván tiene por eficaces. , La orden que la Puerta ha hecho intimar á Baswan-Oglow de volver al Príncipe Ipsiianti los tributos que le exigió para ¿retirar süs tropas de Valaquia, tiene al público en expectación del modo con que la recibirá aquel Baxá. . '..i - ■ .{ r-.\ . ■ Petersburgo de Abril,</t>
  </si>
  <si>
    <t>Ipsiiantit, Príncipe</t>
  </si>
  <si>
    <t>Príncipe Ipsiiantit</t>
  </si>
  <si>
    <t>ero. , S5c había urdido una trama secreta cuyo objeto era h^cer deponer á| :fíospódíf de Valaqúía , Príncipe Ipsiiantit, á fuerza,r de acumulad contra él sospechas? y acusaciones falsas. El Gran ¡Señor.,?que, tiene; ea el Hos.-podar toda confianza, hizo hacer las informaciones mas conducentes á sac</t>
  </si>
  <si>
    <t>Ipsilante, Príncipe</t>
  </si>
  <si>
    <t>Príncipe Ipsilante</t>
  </si>
  <si>
    <t>ntre el Almirante Barón de Cederstron y la: Regencia de Trípoli.. Viena 26 de Noviembre. 1 ' ?■ E 1 Príncipe Ipsilante, nuevo Hospodar de Valaquiallegó á.Bucharest; el. 24 de este mes ,. para tomar posesión de su nueva dignidad. Escriben de la Moldavia que el 23 de Noviembre se publicó un firman d</t>
  </si>
  <si>
    <t>Ipsilanti, Príncipe</t>
  </si>
  <si>
    <t>Príncipe Ipsilanti</t>
  </si>
  <si>
    <t>as inmediaciones un destacamento bastante numeroso, cuyo oficial , llamado Ibrahin, ha entregado al Príncipe Ipsilanti, Hospodar de Valaquia , una carta de Baswan-Oglow, en que le dice que aquel oficial va encargado de perseguir y aniquilar al famoso salteador Darbinill-Oglow^on su tropa , y que p</t>
  </si>
  <si>
    <t>E 1803. Semlin 2 de Marzo. N o habiendo producido algún efecto las representaciones que elHospodar, Príncipe Ipsilanti, hizo al Baxá de Widin Baswan-Oglow, que con pretexto de marchar contra Darbinick-Oglow, envió á V alaquiá un cuerpo de 5® hombres, se ha puesto el Hospodar en estado de resistirl</t>
  </si>
  <si>
    <t>uia, y sacar contribuciones, como á la letra se verificó. En tales circunstancias quiso mas bien el Príncipe Ipsilanti hacer un ajuste con Baswan-Oglow, que exponerse á las arriesgadas conseqiiencias de una larga resistencia. Pagó ae su propio caudal las 300 bolsas que pedia aquel Baxá ; y habiénd</t>
  </si>
  <si>
    <t>izo requerir á la Puerta para que diese orden de arrestar á este embustero, y que le entregasen. El Príncipe Ipsilanti, en virtud de las órdenes de la Puerta, hizo arrestar al fingido Plenipotenciario, qu-e1 debe ser conducido á París. Petersburgo $ de Abril. E n estos últimos dias, por una estafe</t>
  </si>
  <si>
    <t>Buchárest, si no le dan lo que pide en el término de tres dias, y asolar la ciudad y sus campos. El Príncipe Ipsilanti no ha dado otra respuesta que mandar juntar con celeridad todas las tropas posibles en las inmediaciones de la capital, y lia hecho intimar á los bugaros que se pongan inmediatame</t>
  </si>
  <si>
    <t>de Embajador á París ha llegado, á Buchárest, en donde ha de detenerse algunos dias. Lía traído al Príncipe Ipsilanti despachos relativos á las providencias enérgicas que se propone tomar la Puerta para purgar el Imperio de bandidos, y restablecer ías comunicaciones que en varias partes ha interrump</t>
  </si>
  <si>
    <t>por consiguiente venían de un puerto ingles. Vierta 22 de Setiembre. E scriben de Buchárest que el Príncipe Ipsilanti, que desde su entrada al gobierno de Valaquia hizo pagar á los genízaros de su propia tesorería los sueldos atrasados que les debia su antecesor, que después hizo la guerra á sus</t>
  </si>
  <si>
    <t>orriente,a$egtiraivqúelaValaquia está, tranquila agracias á las providencias enérgicas y-sabias del Príncipe Ipsilanti, auxiliado del Conde de Belleval, su Ministro, y del 'Comandante de las tropas otomanas que se hallaban en la frontera á orillas del Danubio. Baswan-Ogiów se mantiene pacífico, y</t>
  </si>
  <si>
    <t>el exército otomano, que se halla en las provincias inmediatas, contiene á Baswan-Oglovv, y así el Príncipe Ipsilanti ha podido ocuparse en proporcionar los medios que le han parecido oportunos á la felicidad de sus vasallos, libertándolos al mismo tiempo de los bandidos. Los caminos están seguro</t>
  </si>
  <si>
    <t>Irache, Joaquín</t>
  </si>
  <si>
    <t>Joaquín Irache</t>
  </si>
  <si>
    <t>briel Hernández: en el de la Corona Compañías al Teniente de granaderos de él, graduado de Capitán, D. Joaquín Irache, y al Ayudante del provincial de León, con grado do Capitán, Doñ Mauricio Rengifo: en el de Africa Compañías á los Capitanes D. Agap ito Mata Linares, D. Alexandro' Mayóliy D. Mig</t>
  </si>
  <si>
    <t>Iránzó y Hérré’rip, Agustín</t>
  </si>
  <si>
    <t>Agustín Iránzó y Hérré’rip</t>
  </si>
  <si>
    <t>obra Oríg'eín 'y regláis dé la musitá qué ¡escribió el Abate español D. Antonio Eximeno *. su autor D. Agustín Iránzó y Hérré’rip-, Maestro de capilla de la:colegial de Alicante. Se hallará en la librería dé Barco , carrera de San Gerónimo , en Valencia en la de Jorge, en Qrihueia én la de Ibañéz , y én Murci</t>
  </si>
  <si>
    <t>Iriarte, Félix</t>
  </si>
  <si>
    <t>Félix Iriarte</t>
  </si>
  <si>
    <t>S. M. en el regimiento de infantería de Buenos-Ayres á Coronel al Teniente Coronel del mismo cuerpo D. Félix Iriarte, graduado de Coronel; á Teniente Coronel al Coronel D. Pedro de Arce, Comandante del tercer batallón; á esta resulta al Sargento mayor, graduado de Coronel, D. Joseph Ignacio Merl</t>
  </si>
  <si>
    <t>Iriarte, Luis</t>
  </si>
  <si>
    <t>Luis Iriarte</t>
  </si>
  <si>
    <t>En el regimiento de Pavía, quarto de Cazadores, se ha servido promover el Rey á Teniente al Alférez D. Luis Iriarte; y en el de Numancia, primero de Húsares, á Capitán al Ayudante mayor D. Joseph López, y á Alférez al Cadete D. Joseph María de Alippi. En América. El Rey se ha servido conferir C</t>
  </si>
  <si>
    <t>Isabel de la Plaza y María Magdalena Chipa</t>
  </si>
  <si>
    <t>poderado de D. Antonio Horme Salet, Doña Vicenta Gomet, como heredera de D. Juan Bautista 'Fabrega, Doña Isabel de la Plaza y Doña María Magdalena Chipa , como viuda» y heredera de D. Pedro Abacin, se hace saber á estos acudan á la citada Dirección general dentro del preciso término de 15 dias á deducir su derecho; con apercibimie</t>
  </si>
  <si>
    <t>Isabel, María</t>
  </si>
  <si>
    <t>María Isabel</t>
  </si>
  <si>
    <t>o del cumpleaños dé Ja Sra. Infanta Doña María Luisa , Reyna viuda de Etruria, y de la Sra. Infanta Dona María Isabel, Princesa de las Dos Sicilias. El Rey se ha servido promover en él regimiento de infantería Inme^ ¿norial del Rey á Ayudante al Teniente de granaderos, graduado de Ca~ pitan, D. A</t>
  </si>
  <si>
    <t>Isasi y Betevin, Antonio</t>
  </si>
  <si>
    <t>Antonio Isasi y Betevin</t>
  </si>
  <si>
    <t>cuerpo á D. Antonio de Hoces y Gutiérrez, D. Joseph Ventades y Martínez, D. Joseph Tabemet y Pavía, D. Antonio Isasi y Betevin, D. Antonio Casano y Dátoli, D. Mateo Chardenaux y Rodríguez, D. Pablo Argaiz y Aranguren, D. Pablo Ventades y Martínez, D. Agustín Salazar y Allendelagua, Don Juan Pusterla y Ler</t>
  </si>
  <si>
    <t>Isidori Matrit</t>
  </si>
  <si>
    <t>postolorum.crz Selectae é profanís scriptoribus historiae :ad usum eorum qui regio in archigymnasio D. Isidori Matrit. Latinae linguae rudimentis imbuuntur. La buena acogida que justamente ha merecido en España esta pequeña colección de historias selectas sacadas del antiguo y nuevo Testamento, y</t>
  </si>
  <si>
    <t>Isidra de Guzmany la Cerda, María</t>
  </si>
  <si>
    <t>María Isidra de Guzmany la Cerda</t>
  </si>
  <si>
    <t>corriente falleció en la ciudad de Córdoba, á los 35 años, 4meses y 4 dias de edad, la Excma. Sra. Doña María Isidra de Guzmany la Cerda, Marquesa de Guadalcazar, Grande de España , Dama de la Reyna nuestra Señora, y de su Real orden. El fondo de religión, ilustrada piedad, talento, instrucción no común, y las-dema</t>
  </si>
  <si>
    <t>Isidro Alonso</t>
  </si>
  <si>
    <t>niente de granaderos D. Joseph Laxara: en el de Valencia Tenencias á los Subtenientes de granaderos D. Isidro Alonso, D. Vicente Naudin y D. Juan Bautista Jayme: én el de León Subtenencia de bandera al Sargento primero D. Pedro Miquelez : en el de Irlanda Compañía al Teniente de granaderos, grad</t>
  </si>
  <si>
    <t>Isidro Álvarez de Lara</t>
  </si>
  <si>
    <t>Sigüenza s León, Ciudad-Rodrigo, Lugo, Ciudad-Real y Chinchilla, á D. Fernando Troyano y Torrubia , D. Isidro Alvarez de Lara, D. Ricardo de, Salcedo, I). Antonio del Hierro y Oliver, D. Joaquín Somoza y Losada , D. Joseph Eusebio de Coca y D. Diego Marín Capdevila. Por el Ministerio de Hacienda se ha co</t>
  </si>
  <si>
    <t>Isidro Bernal</t>
  </si>
  <si>
    <t>de Pareja y la de Buendia, vacantes en la diócesis de Cuenca por íenuncia de D. Manuel Resales, á, D. Isidro Bernal . Capellán dp. altar del Real monasterio de la Enea.nación: para el Beneficio préstamo de la parroquia de la villa de Medellin, en la diócesis de Plasenc.ia, vacante por fallecimi</t>
  </si>
  <si>
    <t>Isidro Cortazar</t>
  </si>
  <si>
    <t>entan. Ultimamente se ha dado comisión al Capitán de Fragata D. Juan Vernaci y al Teniente de Navio D. Isidro Cortazar, para que se embarquen en la fragata Ifigenia, que despacha la Compañía de Filipinas d las costas de Coromandel, desde donde por el estrecho de Malaca, pasarán á Manila, haciendo</t>
  </si>
  <si>
    <t>Isidro del Campo, Manuel</t>
  </si>
  <si>
    <t>Manuel Isidro del Campo</t>
  </si>
  <si>
    <t>Galind.o, del Consejo de S. M., Alcalde de su Real casa y corte, por la escribanía de provincia de D. Manuel Isidro del Campo, se manda sacar á pública subasta un diamante brillante de iog§ granos , tasado por D. Antonio Alarcon y D. Manuel Ramos del Manzano en 677,145 rs., sin baxa ni descuento alguno.</t>
  </si>
  <si>
    <t>ara conocer de la expresada testamentaría , én auto de 1 2 del presente mes de Agosto,refrendado de D. Manuel Isidro del Campo, Escribano de provincia, sacar á pública subasta por término de 30 dias las casas y haciendas que en la villa de Leganés pertenecen á dicha testamentaría, y consisten en una casa-</t>
  </si>
  <si>
    <t>Isidro del Saso</t>
  </si>
  <si>
    <t>cesa al del propio cuerpo D. Pedro Miranda: la del de Málaga al de Granaderos voluntarios de Estado D. Isidro del Saso: la del de Jaén al del mismo cuerpo, graduado dé Coronel, D. Roque Amia: la dél de las Ordenes Militares al del de la Reyna D. Sebastian de Zaragoza; y la del de Voluntarios de Ca</t>
  </si>
  <si>
    <t>Isidro Félix de Quesada</t>
  </si>
  <si>
    <t>ues de Montevideo se ha servido S. M. promover á Tenientes á los Alféreces D. Ignacio Joseph Wames, D. Isidro Félix de Quesada y D. Joseph Rondeau, En el mes de Marzo último , el mayor calor observado en Madrid, ha sido de 15 grados de Remmur, que se verificó el dia i.° del mes. El menor fue en el dia 13 de 3</t>
  </si>
  <si>
    <t>Isidro Martínez de Espinosa</t>
  </si>
  <si>
    <t>el prospecto que se dió con la gazeta de 30 de Enero de 1801. La persona que fuese descendiente de' D. Isidro Martínez de Espinosa , marido que fué de Doña Antonia Agustina de Agramont, hija de Dona María del Castillo, acuda á D. Francisco de Aguilar y Romero, que vive calle del León , casa del cotillero, qui</t>
  </si>
  <si>
    <t>Isidro, Carlos María</t>
  </si>
  <si>
    <t>Carlos María Isidro</t>
  </si>
  <si>
    <t>se vistió la corte de gala en el Real sitio de Aranjuez en celebridad de los dias. del Sr. Infante D. Carlos María Isidro, hijo segundo del Rey. En la Compañía Italiana del Real cuerpo de Guardias de Corps se ha servido .el Rey promover á Exento de número al Supernumerario Don Joseph Bareto , y á Sup</t>
  </si>
  <si>
    <t>or del Nuevo Robinson: traducido del francés, corregido y,mejorado : dedicado al Sermo. Sr. Infante D. Cárlos María Isidro: tomo 2.0 que contiene los descubrimientos de Fernandez de Córdoba ; los de JuandeGríjaiva; la conquista de México; la muerte de Guatimocin; el descubrimiento de la California por</t>
  </si>
  <si>
    <t>r del Nuevo-Robinson: traducido del fránces , corregido y mejorado : dedicado al Sermo. Sr. Infante D. Carlos María Isidro: tomo q.° y último, que contiene el descubrimiento del mar del Sur por VascoNuñez de Balboa; el descubrimiento y la conquista del Perú por Francisco Pizarro; las desavenencias ent</t>
  </si>
  <si>
    <t>Carretas. Continuación de la colección de retratos de las Personas Reales : retrato del Sermo. Sr. D. Carlos María Isidro, Infante de España, grabado por D. Juan Brunetti, copiado del dibuxo original de D. Antonio Carnicero , Pintor de Cámara de S. M. &amp;c. Se hallará en la librería de Escribano, calle</t>
  </si>
  <si>
    <t>ISíey, General</t>
  </si>
  <si>
    <t>General ISíey</t>
  </si>
  <si>
    <t>ora á quien nombrarán Comandante de las tropas francesas en Suiza, después que se haya ausentado eí General ISíey} y solo se dice que las quedara mandando interinamente el Scrr^s La Comisión militar, reunida'en Friburgo con objeto de tratar de los contingentes que deben aprontar los cantones</t>
  </si>
  <si>
    <t>Isla, Antonio</t>
  </si>
  <si>
    <t>Antonio Isla</t>
  </si>
  <si>
    <t>z D. Joseph Rodríguez: en el de infantería de Mallorca á Ayudante al Teniente, graduado de Capitán, Don Antonio Isla ;-y en el de Burgos á Subteniente de bandera al Cadete I&gt;. Sebastian Melero.</t>
  </si>
  <si>
    <t>ISTey, General</t>
  </si>
  <si>
    <t>General ISTey</t>
  </si>
  <si>
    <t>nglaterra, y ha marchado inmediatamente que tuvo el aviso,como se le prevenía en el. La partida del General ISTey se ha retardado , y no se verificara hasta el cange de las ratificaciones del'tratado de alianza y de subsidios de las juntas de los cantones de Schwitz y de los Grisones. Se igno</t>
  </si>
  <si>
    <t>Italiski</t>
  </si>
  <si>
    <t>n el bombardeo ordenado por el General Andermatt. Liorna 1$ de Diciembre. E iscriben de Ñapóles que Mr. Italiski, Encargado de Negocios de ía corte de Rusia cerca de la de Ñapóles, se embarcó para Constantinopla el 30 del mes último para ir á reemplazar á Mr. de Tamara. Tenemos aquí una esqu</t>
  </si>
  <si>
    <t>IVÍilhaud, General</t>
  </si>
  <si>
    <t>General IVÍilhaud</t>
  </si>
  <si>
    <t>día en el fuerte de Esperón, y esta mañanaba entrado otra división, que también ha ido á Albano. Al General IVÍilhaud se le ha conferido la comandancia de las tropas francesas en Liguria. — Los mgleses han principiado á interceptar los buques ligurianos destinados para Francia: algunos han sido a</t>
  </si>
  <si>
    <t>Izar de la Fuente, Santiago</t>
  </si>
  <si>
    <t>Santiago Izar de la Fuente</t>
  </si>
  <si>
    <t>a: para otra de la colegial de Valpuesta, diócesis de Burgos, vacante por renuncia que hizo de ella D. Santiago Izar de la Fuente, á D. Pedro Nolasco de Vadillo,Cura del lusar de Zavalla, en aquel arzobispado: para un Beneficio de la parroquia de Albaygar, diócesis de Pamplona, vacante por muerte de D. Juan</t>
  </si>
  <si>
    <t>Izquierdo, Andrés</t>
  </si>
  <si>
    <t>Andrés Izquierdo</t>
  </si>
  <si>
    <t>o, ha resultado que se hallan embarcados los alumnos de ella Don Bernardo Puisserxer en la América; D. Andrés Izquierdo para la costa de Galicia y Mediterráneo; D. Juan Áicaraz para Puerto-Rico y la Havana, en donde fué examinado y hecho Pilotín; D. Joseph Castelar y Baño para Francia é Italia; D.</t>
  </si>
  <si>
    <t>Izquierdo, Domingo</t>
  </si>
  <si>
    <t>Domingo Izquierdo</t>
  </si>
  <si>
    <t>de Naquera. La presidió su Vice-Director el Marques de Valera , teniendo á su derecha al Excmo. Sr. D. Domingo Izquierdo , Capitán General de este Reyno. Fué numerosa la asistencia de los demas xefes , estado eclesiástico , nobleza , comercio ,y otros individuos de las clases distinguidas y honradas</t>
  </si>
  <si>
    <t>Jackson</t>
  </si>
  <si>
    <t>otivo fuéron á Viena el dia siguiente, en donde permanecen. La universidad de Eriangen ha enviado á Mr. Jackson, Embaxador de Inglaterra en Berlín, los títulos de Doctor. Dicho Ministro estudió en esta universidad. Se van realizando las secularizaciones pronunciadas por la diputación del Im</t>
  </si>
  <si>
    <t>Jacobo Casal</t>
  </si>
  <si>
    <t>anuel Castaño y Asensio: en el de Asturias Compañía al Teniente de granaderos, graduado de Capitán, D. Jacobo Casal; Ayudantía al Teniente, con igual grado, D. Francisco Toro, y Subtenencia de bandera al Cadete D. Andrés Machadó: en el de ¡Navarra Tenencias á los Subtenientes D. Francisco Gonzá</t>
  </si>
  <si>
    <t>Jacobo Gil de Avalle</t>
  </si>
  <si>
    <t>Oyarzabal; á Capitanes segundos á lós Tenientes D. Ignacio López y D. Tomas Anillo, y á Tenientes á D. Jacobo Gil de Avalle y á D. Joaquín Ponte. En el Real cuerpo de Ingenieros del exército ha nombrado S. M. Subtenientes á los de los regimientos de infantería de Mallorca y de Africa D. Joaquín Ortiz de</t>
  </si>
  <si>
    <t>Jacobo Manuel Manrique</t>
  </si>
  <si>
    <t>tos rey.nos, acudirán ante el Sr. D. Sebastian de Torres, del Consejo Real ,.'.pór la escribanía de D. Jacobo Manuel Manrique, á presentar, deducir y legitimar sus créditos y derechos en el preciso y perentorio término de 20 dias, contados desde el 7 de este mes: pasado el qual se procederá a acordar las</t>
  </si>
  <si>
    <t>. P. Sebastian de Torres,, vdet Consejo, de S. M. en el Réary sypremp de Castilla , y escribanía de D. Jacobo Manuel Manrique , á exponer y deducir sus derechos contra los haberes de su Eminencia. " Los subscriptores ai Compendio de historia de España, por D. Joseph Ortiz Bibliotecario de S. M., acudirán</t>
  </si>
  <si>
    <t>lamaciones voluntarias, por estar ya pasados los legales, presenten en la escribanía de comisión de D. Jacobo Manuel Manrique, los títulos de propiedad y pertenencia de stís respectivos Oficios , con apercibimiento de que pasados sin otra interpelación judicial, se procederá á declarar por vacantes los q</t>
  </si>
  <si>
    <t>Jacobo Turquí</t>
  </si>
  <si>
    <t>o-al Ayudante D. Joseph Martin Stejnhauser; Tenencias de fusileros á los Subtenientes de granaderos D. Jacobo Turquí, D. Xpis Pigíiat -y D. Juan Bautista Duc; Subtenencia de granaderos al de fusileros Don •Antonio Grillot, y Subtenencias de fusileros á los Cadetes D. Gerónimo ;Neff y D. Francisc</t>
  </si>
  <si>
    <t>JacóponeUl, Luis</t>
  </si>
  <si>
    <t>Luis JacóponeUl</t>
  </si>
  <si>
    <t>vecinos de lá mis¡ma, mandados por. el caballero Francisco Adonnino, y ;por el Capitán de milicias ;D. Luis JacóponeUl, quienes después de tomar las debidas precauciones de seguridad apostando gentes en. ios paragés mas sospechosos de la playa, repartiéron en patrullas los restantes para descubrir</t>
  </si>
  <si>
    <t>James Ferrar</t>
  </si>
  <si>
    <t>perfecta execucion y de comodidad para el trabajo, la junta cree que las de los ciudadanos Lieveii Bauwens y James Ferrar reúnen mayor niímero de perfecciones j según los conocimientos actuales del arte de hilar el algodón. En conseqüencia los individuos de la junta son de dictame</t>
  </si>
  <si>
    <t>Jas Aventuras de Telémaco</t>
  </si>
  <si>
    <t>Los subscriptores á qualquiera de las dos ediciones 'de la nueva traducción de Jas Aventuras de Telémaco, hijo de Ülises,hecha por D* Fernando Nicolás de Re* Jbolleda, ó á la de solo el texto franees~de la misma obra, acudirán á la librería de Gómez Fuentenebro y compañía, calle de las Car</t>
  </si>
  <si>
    <t>Jaubert</t>
  </si>
  <si>
    <t>enouf están destruidos.— El mismo dia llegué á Bulak, é inmediatamente envié al ciud. Jaubert para avisar ai Baxá del Cayro mi llegada. La mañana siguiente me envió el Baxá 300 hombres de caballería y 200 de infantería, mandados por les principales ofic</t>
  </si>
  <si>
    <t>bía guardar silencio sobre este insulto; y luego que entré en mi casa, envié al ciud. Jaubert quejándome al Baxá, y pidiendo pronta satisfacción. Declaré que deseaba que este hombre viniese á mi casa públicamente á pedirme perdón, entregarse á mi dispos</t>
  </si>
  <si>
    <t>sufrido después de la partida del General Bonaparte, me pidió que le enviase el ciud. Jaubert, á quien protestó el mayor afecto á la persona del primer Cónsul...... Todos los Cheikes de los árabes que he visto se quejan de los Osmanlies___ También recib</t>
  </si>
  <si>
    <t>Jauberty Lagrange</t>
  </si>
  <si>
    <t>mediatamente salí para Acre, adonde llegué el 19. El 20 por la mañana envié los ciudadanos Jauberty Lagrange con una carta para Djezar-Baxá, en que le decía que hallándose concluida la paz entre la Francia y la Puerta, iban á renovarse las relaciones de comercio en lo</t>
  </si>
  <si>
    <t>Jayme Blanch</t>
  </si>
  <si>
    <t>isma. Murió en 11 de Set. de99-J pHijo de Josef y de Clara , natural de^j 2.a.. Jayme Blanch. j Gerona en Cataluña, dependiente! j del Corregimiento de la misma. Mu-1 365. 14 l rió en 19 de Febrero de 99........... j rHijo de Josef y de Francisca, naturah i de Barña en Cataluña , dependien- J 4.a.. Josef Arrau.</t>
  </si>
  <si>
    <t>Jayme Bonells</t>
  </si>
  <si>
    <t>es que rehúsan criar á sus hijos, y medios para co'ntener el abuso de ponerlos en ama., pór el E&gt;r. D. Jayme Bonells: un tomo en 8.° Esta obra no necesita mas recomendación que la de deberse principalmente á ella el que se haya desterrado en gran parte el abuso de poner las criaturas en ama, y o</t>
  </si>
  <si>
    <t>Jayme Ferrandiz</t>
  </si>
  <si>
    <t>las Aduanas para que consté en ellas la gracia. Y de Real orden &amp;c. S. M.vse.ha servido conceder á D. Jayme Ferrandiz, vecino de la villa de Álbayda, Reyno de Valencia, título de Barón, de que se le ha ,espedido ebeompetente despacho coti la denominación de Casa de Ferrandiz ; y á D. Francisco,yf</t>
  </si>
  <si>
    <t>Jayme Folch</t>
  </si>
  <si>
    <t>un mérito sobresaliente, que habían dibuxado á presencia del director de escultura de dicha escuela D. Jayme Folch. r__En seguida el Sr. D. Fernando Calvache, Censor del cuerpo, recitó una canción á las bellas artes; y los individuos Dr. D. Simón Argote y D. Francisco Dalman pronunciaron dos d</t>
  </si>
  <si>
    <t>Jayme García Conde</t>
  </si>
  <si>
    <t>s Españolas se ha servido promover el Rey á Capitán al primer Ayudante mayor , graduado de Coronel, D. Jayme García Conde» El Rey se ha servido conferir empleo de Sargento mayor en los regimientos provinciales siguientes: en el de Badajoz al Teniente Coronel D. Francisco Casamayor, Capitán del de inf</t>
  </si>
  <si>
    <t>Jayme Garro</t>
  </si>
  <si>
    <t>yo. £ ll Rey se ha servido nombrar para la Canongía de la catedral de Lérida, vacante por muerte de D. Jayme Garro, á D. Jacinto Mari: para la Dignidad de Chantre de la-colegial de Covarrubias, en la diócesis de</t>
  </si>
  <si>
    <t>Jayme Oliver</t>
  </si>
  <si>
    <t>ra el de Capitán primero al Teúiente de granaderos dél regimiento de Navarra, graduado de Capitán , D, Jayme Oliver, Jin América, . En el cuerpo de caballería de blandengues de Montevideo se ha servido S. M. promover á Tenientes á los Alféreces D. Ignacio Joseph Wames, D. Isidro Félix de Quesad</t>
  </si>
  <si>
    <t>Jayme Pascual</t>
  </si>
  <si>
    <t>de la misma ciudad. Van al fin dos Cartas críticas que dirigió á este el Dr. D. Jayme Pascual, Canónigo premostratense de la iglesia y Real monasterio de las Avellanas , sobre la inscripción oretana publicada por la gazeta de Madrid de 15 de Julio de 1785 , y otra sobre el mismo asu</t>
  </si>
  <si>
    <t>Jayme Prat</t>
  </si>
  <si>
    <t>de infantería de Mallorca se ha servido promover S. M. á Capitán al Ayudante, graduado de Capitán, D. Jayme Prat* y en el primer batallón de voluntarios de Aragón á Capitán segundo* al Teniente D. Ramón Garces. En América. El Rey se ha dignado conceder el empleo de Subteniente de bandera en</t>
  </si>
  <si>
    <t>Jayme, Francisco</t>
  </si>
  <si>
    <t>Francisco Jayme</t>
  </si>
  <si>
    <t>América. El Rey se ha servido nombrar Subteniente en el regimiento de infantería de Buenos-Ayres á D. Francisco Jayme, Guardia de Corps de la Real Compañía Americana; y para igual empleo en el de infantería lixo de Nueva España á D. Antonio Mena, Guardia de Corps dé la Real Compañía Flamenca. Por</t>
  </si>
  <si>
    <t>JaymeDot</t>
  </si>
  <si>
    <t>823 aquella eludid , y en esta corte á D. JaymeDot, calle de los Preciados, núm. 2. Por providencias del Sr. D. Torquato Antonio Collado , Teniente Corregidor de esta villa, se mandaron sacar á publica subasta por 30 dias, que ya</t>
  </si>
  <si>
    <t>JD, Coronel</t>
  </si>
  <si>
    <t>Coronel JD</t>
  </si>
  <si>
    <t>o conferir el empleo de Comandan-i te del esquadron de dragones de Luzon, en Filipinas, al Teniente Coronel JD. Francisco Arnedo y Antillon, Capitán del misino cuerpo. En el mes de Junio ultimo, el mayor calor ha sido el dia 19 de 30,1 grados de Reaumur; el qual excede al máximo que suele</t>
  </si>
  <si>
    <t>Jdiguel Dulce</t>
  </si>
  <si>
    <t>o Larinaga; para esta Canongía al Racionero D. Bartolomé Bueno; y para la Ración al Medio Racionero Don Jdiguel Dulce. . ' S. M. se ha servido nombrar Teniente del regimiento de infantería de Puebla, fixo de Nueva-España, á D. Carlos Leblond, Guardia de Corps de la Real compañía Flamenca. ' Con f</t>
  </si>
  <si>
    <t>Jeannet</t>
  </si>
  <si>
    <t>S. Felipe el Real. Tratado de la tisis, sus síntomas , sus causas, sus diferencias y curación: por Mr. Jeannet des Longroís, Doctor Regente de la facultad médica de París: traducido al castellano por D. Ramón Fernandez, profesor de cirugía. Se hallará en la librería de Castillo, frente á S. F</t>
  </si>
  <si>
    <t>u precio 12 rs'. v Tratado de la tisis, sus síntomas , sus causas , sus diferencias y curación: por Mr. Jeannet des Longrois, Doctor Regente de la facultad médica de París: traduí i da. por D. Ramón Fernandez. Se hallará en la librería de Castillo, frente á las gradas de S. Felipe. Tratado sob</t>
  </si>
  <si>
    <t>Jecker</t>
  </si>
  <si>
    <t>industria. Saliendo de esta manufactura pasó el Ministro á los talleres de dos ciudadanos Jecker, hermanos, en que se fabrican instrumentos-de óptica y marina. Nada han omitido estos*sabios artistas para reunir en sus obrado res todos los medios de fabrica</t>
  </si>
  <si>
    <t>Jenner</t>
  </si>
  <si>
    <t>Lord Eerkeley, informándose de los progresos que hacia la Sociedad; y. después volviéndose hacia el Dr. Jenner añadió, que este descubrimiento daba singular honor á la Incdaterra. • - -El número de buques botados al agua en este año para servicio de la compañía de la India es de 18, que co</t>
  </si>
  <si>
    <t>e la honra de presentaros su informe general sobre el nuevo método de inoculación, inventado por el Dr. Jenner, y trahido por el ciud. Larochefoucault-Liancourt á París, en donde ha tenido el mas favorable acogimiento de los sabios y de los buenos ciudadanos.— La junta ha llegado felizment</t>
  </si>
  <si>
    <t>Jenner de Berna</t>
  </si>
  <si>
    <t>Hacienda , que se excusó de entrar en la comisión, ha nombrado él Landamman al ciud. Jenner de Berna. Convienen las noticias de Schwitz , Uri, Zug, Underwalden &amp;c. en que los cantones pequeños han recibido la nueva constitución con las mas vivas demostraciones</t>
  </si>
  <si>
    <t>Jenner y de Aírs</t>
  </si>
  <si>
    <t>n de la vacuna, fue presentada á S. M. por el Conde de Berkeley, acompañado del Lord .Egremont, del Dr. Jenner y de Aírs. Angerstein y Trayers, y dio gracias al Rey por la bondad que ha tenido de declararse protector de esta institución. S. Al. tuvo una larga conversación con el Lord Eerkeley, infor</t>
  </si>
  <si>
    <t>Jérutos, Agustín</t>
  </si>
  <si>
    <t>Agustín Jérutos</t>
  </si>
  <si>
    <t>substituto por'S. M. D. Antonio Dámaso Torrecilla, Médico de numero de los mismos hospitales, y de D. Agustín Jérutos, Cirujano de ellos, y maestroAemostrador ,..comisionó la .junta á los .Sres.. Consiliarios de.ella Marques; de Bondad Rea! y.D. Francisco Villalba para presidir las públicas oposi</t>
  </si>
  <si>
    <t>Jervis</t>
  </si>
  <si>
    <t>llegamos al otro dia. El capitán ingles fue inmediatamente á dar cuenta ai Almirante, que encargó á Mr. Jervis, Capitán del navio Magnífico , pasase á reconocer ios pape-les del que creían ser Gerónimo Bonaparte, y asegurarse de la identidad de su persona. Resistiéndose el capitán american</t>
  </si>
  <si>
    <t>Jervis, Almirante</t>
  </si>
  <si>
    <t>Almirante Jervis</t>
  </si>
  <si>
    <t>fensa y evacuación de la de Rosas; en el combate naval de 14 de Febrero de 1797 con la esquadra del Almirante Jervis, en cuya acción se distinguió mandando el navio Soberano, y finalmente desempeñando á satisfacción del Sr. Generalísimo los encargos que se le han confiado en el estado mayor de M</t>
  </si>
  <si>
    <t>Jesús Paredes, Pedro</t>
  </si>
  <si>
    <t>Pedro Jesús Paredes</t>
  </si>
  <si>
    <t>Joáquín.Perez: para otra Canongía de merced de la catedral de Caracas, vacante por fallecimiento de D. Pedro Jesús Paredes, á D. Joseph Cortes y Madariaga, Canónigo de la catedral de Santiago de Chile; y para esta vacante á D. Vicente de Larrain, Cuta párroco de dicha catedral. «V ' . . S. M. se ha di</t>
  </si>
  <si>
    <t>JeÜachich, General</t>
  </si>
  <si>
    <t>General JeÜachich</t>
  </si>
  <si>
    <t>Ha recibido nuestra corte sucesivamente freqüentes correos del General JeÜachich y otros Generales. que mandan en: Usi,fronteras Turquía, pero se ignora lo que traen. Los negocios de aquel país principian de nuevo á merecer la atención pública, pues no solo no s</t>
  </si>
  <si>
    <t>Jo, Miguel</t>
  </si>
  <si>
    <t>Miguel Jo</t>
  </si>
  <si>
    <t>ada en 14^ &gt;g rs., acuda ante el Sr. Alcalde D. Joaquín Herran, y por la escribanía de provincia de D. Miguel Jo seph García de la Madrid en el término de 30 días, contados desde el i 5 del corriente. En virtud de providencia de los Sres. del Real y supremo Consejo de la Guerra se cita, llam</t>
  </si>
  <si>
    <t>Joaquih de Sotomayor</t>
  </si>
  <si>
    <t>el de Unda: para la Maestrescclía al Tesorero D. Maximiliano Coronel: para la Tesorería al Canónigo D. Joaquih de Sotomayor: para esta Canongía á 'D. Lázáro Sevillano, Racionero mas antiguo de laj&gt;ropia iglesia : para una Media-Ración, vacante por fallecimiento de D. ’Pedtp Joseph de Aizpuru, á D. Joaq</t>
  </si>
  <si>
    <t>Joaquín'Moles</t>
  </si>
  <si>
    <t>el patrocinio de S. Antonio Abad para guardar la salud de los animales, traducida en castellano por D. Joaquín'Moles , presbítero. Se hallará en la imprenta y librería de Blanques, calle de las Carretas. Quaderno j? de la cartilla de principios de dibiixo según los mejores origínale! que tiene e</t>
  </si>
  <si>
    <t>Joaquina Escribá y Josepha Sumbiela</t>
  </si>
  <si>
    <t>los de su pertenencia D. Joseph y D. Juan Flores, D. Joaquín María Escriba,, D. Antonio Lavillete, Doña Joaquina Escribá y Doña Josepha Sumbiela.*, ambas señoritas recibieron premios distinguidos de honor. Concluida»</t>
  </si>
  <si>
    <t>Joba, Juan Manuel</t>
  </si>
  <si>
    <t>Juan Manuel Joba</t>
  </si>
  <si>
    <t>Capellanía al presf itero D, Francisco Bravo y Tocados: en el de Asturias Capellanía al presbítero D, Juan Manuel Joba: en el de Navarra Compañía ai Teniente de.granaderos, graduado de Capitán., D. Manuel Matoneen el de Ultonia Compañía ai.Ayudante, graduado de Capitán, D. Juan de Meglioriny: en e</t>
  </si>
  <si>
    <t>Jodoco Traxler, Joseph</t>
  </si>
  <si>
    <t>Joseph Jodoco Traxler</t>
  </si>
  <si>
    <t>za al f ubteniente de granaderos D. Antonio Abad; y en el Suizo vacante de Yann al Cadete del mismo D. Joseph Jodoco Traxler. En los regimientos provinciales ha conferido ei Rey Compañía en el de Ciudad-Real á D. Antonio Andrés Alcalá Galiano, Teniente del de Écija: la Tenencia de granaderos del de Beta</t>
  </si>
  <si>
    <t>Johnstone</t>
  </si>
  <si>
    <t>unes el mismo dia 21 se proppso lá tercera lectura del bilí en. favor de la exportación del azúcar. Mr. Johnstone dixo: ,,Que para formar idea exacta de la providencia que se proponía á la Cámara, era menester considerar los hechos. En el discurso del año que acabó en 1801.se exportáron un mi</t>
  </si>
  <si>
    <t>Comunes el Ministro de la Guerra propuso la tercera lectura del bilí sobre el exército de reserva. Mr. Johnstone habla no para oponerse al bilí, sino para observar que después de habernos expuesto á todas las. inquietudes y gastos ocasionados con la renovación de las hostilidades, tendremos</t>
  </si>
  <si>
    <t>Joly de Fleury</t>
  </si>
  <si>
    <t>orillas del Escalda. Lo mismo se practicará en otros parages. Acaba de morir á la edad de 83 años, Mr. Joly de Fleury, antiguo Ministro de Hacienda. El retrato eqiiestre del primer Cónsul pintado por David, ha sido regalado á ios militares de la casa de inválidos, quienes lo recibieron con sumo g</t>
  </si>
  <si>
    <t>Jónhstp</t>
  </si>
  <si>
    <t>se mostró asombrado de que hubíe■se recaido un impuesto sóbre los sedimentos ó.heces de la cerveza. Mr. Jónhstp.neiSQstuyp querqo.Jbastíaban ios .subsidios pedidos, y que al cabo ■se. verían. o Migados.* á hacer ja cpaz ¡sin tíbtene r mejores condiciones que Jas que había propuesto.la.Erahe</t>
  </si>
  <si>
    <t>Jordán de Asso, Ignacio</t>
  </si>
  <si>
    <t>Ignacio Jordán de Asso</t>
  </si>
  <si>
    <t>ripción el día que se publiqué. ! f r. - Instituciones dei Derecho civil de Castilla, por los Dres. D. Ignacio Jordán de Asso y deLRio, y D. Miguel devManuel y Rodriguez: van añadidas- al Sn.\de-cá-da título las diferencias que de este Derecho se observan en• Aragón poirídisposición de sus fuerosquinta edició</t>
  </si>
  <si>
    <t>Jordán, Joseph</t>
  </si>
  <si>
    <t>Joseph Jordán</t>
  </si>
  <si>
    <t>ragones' de Luzón, en Filipinas, á Teniente al Alférez D. Miguel del Thoso; á Alférez al Portaguión D. Joseph Jordán, y á Portaguión al Cadete D. Tomas Peredo. Por el Ministerio de Hacienda se ha comunicado con fecha de 17 del corriente la Real orden que sigue: El Rey quiere que todos los extran</t>
  </si>
  <si>
    <t>esquadron de dragones de Luzon á Teniente al Alférez O. Lorenzo Gutiérrez; á Alférez al Portaguión D. Joseph Jordán, y á Portaguión al Cadete D. Joseph María Arlegui. Por el Ministerio de Hacienda se ha comunicado con fecha de 21 de Agosto la Real orden siguiente : „E1 Rey quiere que el azúcar</t>
  </si>
  <si>
    <t>Jordania, Joseph</t>
  </si>
  <si>
    <t>Joseph Jordania</t>
  </si>
  <si>
    <t>encia, Granada, Murcia y batallones de voluntarios de Campomayor y de Navarra á D. Vicente de Aznar,D. Joseph Jordania , D. Francisco de Cáceres , D. Juan Ximenez Rosillo y B. Joseph López y Sánchez. El Rey se lia servido nombrar Teniente Coronel del regimiento de húsares Voluntarios al Coronel D.</t>
  </si>
  <si>
    <t>Jorge Juan</t>
  </si>
  <si>
    <t>iones astronómicas y y geográficas de los Académicos Reales de las Ciencias de París y de los Sres. D. Jorge Juan y D. Antonio de Ulloa................................................................................. 30. 26. PLANOS. Plano de los puertos de Santa Elena y de Meló en la costa Patagó</t>
  </si>
  <si>
    <t>Mecánica aplicado á la construcción, conocimiento y manejo de los navios y demas embarcaciones, por D. Jorge Juan, comentado, corregido y añadido por el Capitán de Navio D. Gabriel de Ciscar: un tomo en folio en pasta.... 75. 48. Diccionario histórico de las artes de la pesca nacional, por el</t>
  </si>
  <si>
    <t>Josef Arrau</t>
  </si>
  <si>
    <t>jo de Josef y de Francisca, naturah i de Barña en Cataluña , dependien- J 4.a.. Josef Arrau. ) te del Corregimiento de la misma, f 93- 7 i. Murió en 14 de Agosto de i8u¡-&gt;....J rHijo de Juan y de Teresa, natural de^ J Barña , dependiente del Corregí- l i.a.. Francisco Bremon. | miento de la misma. Murió en 23</t>
  </si>
  <si>
    <t>Josef García</t>
  </si>
  <si>
    <t>ijo de Josef y de Josefa Boix, na-q 1 tural de Valencia del Cid , depen-5 3*a*. Josef García. j diente del Corregimiento de la mis- { 59- 10 l ma. Murió el 8 de Nov.e de 9J.....J pHijo de Benito y de Catalina Seguí,q ; natural de Soller en Mallorca, de4.a.. Juan Frontera........ &lt;¡ pendiente del Corregimiento d</t>
  </si>
  <si>
    <t>Josef Martí</t>
  </si>
  <si>
    <t>Murió en 2 de Diciembre de 96.J pHijo de Bernardo y de Teresa, natu-q /■) 9 1* Josef Martí. j ral de Alexar en Cataluña, depen- i 411. 29 t diente del Corregimiento de Tarra- r L gona. Murió en 29 de Junio de 97 J I-Hijo de Ignacio y de María Pollina,q a natural de Bellpuig en Cataluña,! 6 ¿• 2 3 ♦* Juan Rech</t>
  </si>
  <si>
    <t>Josef Puig</t>
  </si>
  <si>
    <t>jo de Antonio y de Teresa, naturalq f del Cober en Cataluña, dépendien- í 3.a.. Josef Puig. 68. 3 j te del Corregimiento de Tarragona. ( L Murió en 27 de Enero de 95.........J rllijo de Josef y de Josefa Boix, na-q 1 tural de Valencia del Cid , depen-5 3*a*. Josef García. j diente del Corregimiento de la mis-</t>
  </si>
  <si>
    <t>Josef Segada</t>
  </si>
  <si>
    <t>~Hijo de Josef y de Mariana Campayo j natural de Puigcerdá en Cataluña, í 3.a.. Josef Segada. ) dependiente del Corregimiento de f 6?. 12 l_ la misma. Murió en 11 de Set. de99-J pHijo de Josef y de Clara , natural de^j 2.a.. Jayme Blanch. j Gerona en Cataluña, dependiente! j del Corregimiento de la misma. Mu-1</t>
  </si>
  <si>
    <t>Josejúi Betegón</t>
  </si>
  <si>
    <t>er á Brigadieres de sus exércitos á los Coroneles del Real cuerpo de Artillería E), Gerónimo Leoni, D. Josejúi Betegón, D. Joseph Montes Salazar, D. Nicolás Antuñano y D. Antonio Casano; á los del de Ingenieros D. Pedro Cortés y D. Francisco Villa</t>
  </si>
  <si>
    <t>Josepfia de Obregon Gevallos</t>
  </si>
  <si>
    <t>del lugar de. Villasibil de Toranzo , -en; .el valle deX^rríedqxchispado:, de Santander, casado con Doña Josepfia de Obregon Gevallos. i¡a persona: que tuviese noticia de él, se servirá avisarlo á D.Francisco de la Portilla Villegas , = Abogado de los Reales Consejos, su hermano político, residente en la ciudad</t>
  </si>
  <si>
    <t>Joseph Bernardo</t>
  </si>
  <si>
    <t>1 D. Cátlos Rcggio, y los Sargentos primeros D. Matías Cervera, de granaderos, P Francisco Cañedo y D. Joseph Bernardo , y á Subtenientes de bandera á los Cadetes D. Bernardo Prieto, D. Cirilo Lessasier, D. Juan Treviño y D. Luis Dreux, y los Sargentos primeros D. Toitiás Benávides, de granaderos,</t>
  </si>
  <si>
    <t>Joseph Francisco</t>
  </si>
  <si>
    <t>remita al referido D. Juan, en Madrid, calle de la Luna, núm. 5,, quarto principal, ó al mencionado D. Joseph Francisco, en S. Sebastian. La Real .dirección de abastos de Madrid hace saber al público que admitirá, las proposiciones'que se hagan para surtir la vaca y carnero, bien sea por número de</t>
  </si>
  <si>
    <t>Joseph Luis</t>
  </si>
  <si>
    <t>S. M. conferir en el regimiento de infantería de Africa Subtenencia de bandera al Sargento primero D. Joseph Luis: en él de Sevilla Tenencia al Subteniente de granaderos D. Juan de Torres: en el de Murcia la Comandancia del tercer batallón al Sargento mayor deLde Granaderos Voluntarios de Est</t>
  </si>
  <si>
    <t>Joseph María</t>
  </si>
  <si>
    <t>oseph María Swerts y Ayala: para otra Ración de Ja catedral de Zamora, vacante por fallecimiento de D. Joseph María leal de Ibarra, á D. Joseph de Fuentes y Toro: para el Beneficio Préstamo de la parroquia de Arrancacepas y para el de la de Villalvilla, ambos en la diócesis de Cuenca, vacantes</t>
  </si>
  <si>
    <t>al Ramírez, á D. Juan Francisco Mendez, Racionero de la misma: para esta Ración, al Medio-Racionero D. Joseph María, de Rey ñas para esta resulta á D. Manuel Guerrero Sánchez, electo Medio-Racionero de la catedral de Cuenca^ y para una Ración de la metropolitana de Manila, vacante por muerte de</t>
  </si>
  <si>
    <t>mismo cuerpo: Subtenencias en el de Valencia al Sargento primero D. Andrés Sánchez, y á los Cadetes D. Joseph María y D. Joaquín Vidal y Bou: Ayudantía en el de Guadalaxara al Teniente de granaderos, graduado de Capitán, D. Rafael de Lianza: Tenencia en el de Navarra al Subteniente de granaderos D.</t>
  </si>
  <si>
    <t>Joseph'López</t>
  </si>
  <si>
    <t>Bastos y al Sargento primero D* Juan Ruiz: en el de húsares de Numancia Compañía al Ayudante may or D. Joseph'López ; para el empleo que este dexá al 1 ementé; graduado de Capitán, D. Felipe Cadroy; Tenencia al Alférez D. Manuel Bretón , y el empleo de Alférez á los Cadetés D. Joseph María de A</t>
  </si>
  <si>
    <t>Joseph-Climent</t>
  </si>
  <si>
    <t>retas. Costumbres de íos christlanos y dé los israelitas: 2 tomos en 8.% con la carta dél limo. Sr. D. Joseph-Climent, Obispo de Barcelona. Se hallará en las librerías de esta corte, y en la imprenta de Cruzado, calle de la Magdalena. v Cartilla francesa ó rudimentos ciaros y breves para aprender</t>
  </si>
  <si>
    <t>Josepha</t>
  </si>
  <si>
    <t>tiago de Galicia , á quien ie interesa como cumplidor testamentario de los difuntos padres de dicha Doña Josepha; o si le acomodase en 'esta corte á D. Antonio López de S..Romaji, calle dél Rollo, casas de S. Xavier,, núm.. 4, quarto baxo.</t>
  </si>
  <si>
    <t>Josephá Amar y Borbon</t>
  </si>
  <si>
    <t>n la de la viuda é hijo de Alegría. Discurso sobre la educación física y moral de las mugeres : por Doña Josephá Amar y Borbon , socia de mérito de la Real Sociedad aragonesa, y de la Junta de Damas unida á la Real Sociedad de Madrid: un tomo en 8.° Se hallará en la librería de Fernandez, frente á S. Feli</t>
  </si>
  <si>
    <t>Josepha de Villar</t>
  </si>
  <si>
    <t>Véndese á 6 quartos en el despacho de la imprenta Real. A mediados de Enero próximo.pasado remitió Doña Josepha de Villar, de Cádiz, á D. Antonio Xavier y D. Ignacio de Uzcanga , vecinos de la villa de Deba, en la provincia de Guipúzcoa, 7 vales Reales de á 150 pesos, de Setiembre , con los números 1</t>
  </si>
  <si>
    <t>Josepha Dogan, María</t>
  </si>
  <si>
    <t>María Josepha Dogan</t>
  </si>
  <si>
    <t>ya confundidos con el transcurso del tiempo , resultando de dicho testimonio se hallaba casado con Doña María Josepha Dogan, vecina de la propia ciudad de: Buenos-Ay res, que los bienes recaudados ascendieron á 1520 pesos fuertes, los qualcs se registraron én li fragata de guerra AsunT cion á disposici</t>
  </si>
  <si>
    <t>Josepha Lexalde</t>
  </si>
  <si>
    <t>do, acudan en el término de 8 meses, contados desde este día, á legitimar su derecho al executor de Doña Josepha Lexalde; D. Agustín Ramis, Canónigo de la catedral de Tarazona en Aragón, donde reside , pasado cuyo término les parará perjuicio. Orationes ex Sallustii, Livii, Taciti et Curtii historii</t>
  </si>
  <si>
    <t>Josepha Villar</t>
  </si>
  <si>
    <t>i68 Dona Josepha Villar, y en Deba á los referidos D, Antonio Xavier y D. Igaj* ció de Uzcanga. Disertación histórico-teológica sobre la antigüedad de los párrocos , por el limo. Sr. D. Juan Manuel de Ar</t>
  </si>
  <si>
    <t>JosephFebrero</t>
  </si>
  <si>
    <t>mentos y contratos. Este es un compendio con muchas adiciones de la bien conocida obra que escribió D. JosephFebrero, de cuya lectura carecen muchos por su crecido volúmen y coste; y con este nuevo prontuario en forma de diálogo, se facilita la instrucción necesaria no solamente á escribanos pri</t>
  </si>
  <si>
    <t>JosephMorillas y Navarrete</t>
  </si>
  <si>
    <t>mbrar para una plaza de Alcalde del crimen de la Chancillería de Granada , vacante por promoción de D. JosephMorillas y Navarrete á Oidor supernumerario de la Audiencia de. Sevilla1, á D. Tiburcio González; y para otra también del crimen de dicha Chancillería, vacante por muerte de D. Andrés Bustillo de la C</t>
  </si>
  <si>
    <t>Josepk</t>
  </si>
  <si>
    <t>ervido nombrar para la plaza de Fiscal deí Crimen de la Audiencia de Lima, vacante por promoción de D. Josepk (jorvea y Vadillo á Regente de la de Buenos-Ayres, á D. Francisco Ma-{ riueLHerrera, Fiscal de la Audiencia de Chile. % En cumplimiento de lo mandado por S. M. en Real Pragmática-</t>
  </si>
  <si>
    <t>Josepla de Urrutia y las Caras</t>
  </si>
  <si>
    <t>de Marzo de este año falleció en esta corte á los 63 años, 3 meses y 12 dias de edad, el Excmo. Sr. D. Josepla de Urrutia y las Caras, Capitán General de los Reales exércitos, cabaWero Gran Cruz de ia orden de Carlos 111, Comendador en la de Calatrava , Ingeniero general de los exércitos, plazas y fronteras , Di</t>
  </si>
  <si>
    <t>Josepli Caballol</t>
  </si>
  <si>
    <t>los fallecimientos de D. Agustín Soler., D. Cayetano Torrent y D. Diego Angulo, á D. Ignacio Corts, D. Josepli Caballol y D. Eudaldo Villardeli: para un Beneficio de parentela de la catedral de Vique, baxo la invocación de S. Pablo, á D. Francisco Travería: para el Beneficio de S. Miguel, llamado de la</t>
  </si>
  <si>
    <t>Josepn de Ichaso, Pedro</t>
  </si>
  <si>
    <t>Pedro Josepn de Ichaso</t>
  </si>
  <si>
    <t>a villa de Puente la Reyna, obispado de Pamplona, vacante por fallecimiento de D. Manuel de Oses, á D. Pedro Josepn de Ichaso. En el regimiento de infantería de Saboya se ha servido promover el Rey á Ayudante al Teniente, graduado de Capitán, D. Joseph Lamar; y en el de infantería de Aragón á Subteniente</t>
  </si>
  <si>
    <t>Josopli María Henriquez</t>
  </si>
  <si>
    <t>este dexa á D. Joseph María Rosado , Teniente de la expresada compañía; esta resulta al Subteniente D. Josopli María Henriquez, y la Sub</t>
  </si>
  <si>
    <t>Jouette</t>
  </si>
  <si>
    <t>Jover, Joseph</t>
  </si>
  <si>
    <t>Joseph Jover</t>
  </si>
  <si>
    <t>de ía misma, á D. Joseph Jover: para otra Canongía de la de Huesca, vacanre por fallecimiento de D. Alexandro Ferrer, á D. Pedro Espinosa s para otra de la de Barbastro, vacante por muerte de D. Felipe de Broto</t>
  </si>
  <si>
    <t>Jover, Juan</t>
  </si>
  <si>
    <t>Juan Jover</t>
  </si>
  <si>
    <t>de; Urgel, vacante por promoción de D. Mateo Folguera á una Canongía de la colegiata de Guisona, á D. Juan Jover; y para el Beneficio de sangre de la catedral de Vique, baxo la invocación de S. Lucas y S. Blas, vacante por fallecimiento de D. Andrés Estebanell, y por renuncia que hizo D. Fra</t>
  </si>
  <si>
    <t>Jpseph Antonio García</t>
  </si>
  <si>
    <t>ras, D. Francisco Godoy y D. Simón Sánchez; y para los otros tres de á 35 pesos también cada uno, á D. Jpseph Antonio García, Don Francisco López y D. Domingo Barona. Mas como lax comisión no pudo prescindir de las pruebas nada equívocas que en el referido concurso dieron algunos otros jóvenes de su con</t>
  </si>
  <si>
    <t>Juafi Antonio de Tapia</t>
  </si>
  <si>
    <t>ido nombrar para Obispo Auxiliar de 1» catedral de Valladolíd-de Meehoacan, vacante por renuncia de D. Juafi Antonio de Tapia , Dean de la misma iglesia, á Fr. Benito de Mojo y dé Francoli, Dignidad de Obrero del Real monasterio de S. Cugat del Valles , de la Congregación Benedictina. El Rey se ha servid</t>
  </si>
  <si>
    <t>Juaft Carvájo</t>
  </si>
  <si>
    <t>402 cisco de Vera, D. Juaft Carvájo.y D. Joaquín de Vrana; á Subtenientes de granaderos á los de fusileros D. Joseph Vergaña, D. Mauricio Fornell y D. Joseph Vila; y á Subtenientes á los Cadetes D. Manuel Rodrigo, D</t>
  </si>
  <si>
    <t>Juan Antonio</t>
  </si>
  <si>
    <t>Antonio CoIlado,deí Consejo de S. M., Teniente Corregidor de esta villa, y escribanía del número de D. Juan Antonio efe Urraza, se está subastando una casa, sita en la calle de Atocha, frente al tribuno] de Sres. Alcaldes de casa y corte, núm. 7, manz. 197,. que su sitio comprehetide en la planta</t>
  </si>
  <si>
    <t>Juan Bautista</t>
  </si>
  <si>
    <t>io Garly , Mr. Gasin,como apoderado de D. Antonio Horme Salet, Doña Vicenta Gomet, como heredera de D. Juan Bautista 'Fabrega, Doña Isabel de la Plaza y Doña María Magdalena Chipa , como viuda» y heredera de D. Pedro Abacin, se hace saber á estos acudan á la citada Dirección general dentro del p</t>
  </si>
  <si>
    <t>Juan Bautista Carlos</t>
  </si>
  <si>
    <t>Jaén, á¡0. Domingo Pons*. para una Canongía de dicha catedral de Menorca, vacante por promoción de D. Juan Bautista Cárlos á otra de la de Osma, á D. Gil Pasqueda: para otra de la catedral de Canaria, que vacó por fallecimiento de D. Nicolás Viera y Clavijo, á D. Joseph Francisco Borbujo: para otra de</t>
  </si>
  <si>
    <t>Juan Felipe</t>
  </si>
  <si>
    <t>por sus Plenipotenciarios respectivos , á saber, S. M. el Emperador, Rey de Hungría y de Bohemia, á Mr. Juan Felipe , Conde de Cobentzel, y el primer Cónsul de la República francesa al ciud.Joseph Bonaparte; los quales después de haber cangeado sus plenos poderes , han convenido en los artículo</t>
  </si>
  <si>
    <t>Juan Joseph</t>
  </si>
  <si>
    <t>za podrán dirigir sus memoriales v relación de méritos al Escribano del Ayuntamiento de dicha villa D. Juan Joseph lagares , y en Madrid á D. Manu.el de Quevedo Bustamante , Secretario de la Subdelegaron de imprentas y librerías del reyno, calle ancha de. Peligros, núm. 18, quarto segundo. . ' ,</t>
  </si>
  <si>
    <t>Juan, Archiduque</t>
  </si>
  <si>
    <t>Archiduque Juan</t>
  </si>
  <si>
    <t>posición del Archiduque, continuará el mismo orden introducido por S. A. S., á quien reemplazará el Archiduque Juan. Mr. de Gunderode, Enviado extraordinario del Landgrave de HesseCassel, ha llegado á esta capital. Trae el encargo de pedir en nombre de su Soberano la dignidad Electoral___ Actua</t>
  </si>
  <si>
    <t>a ciertos delitos. Francfort 29 de Setiembre. L a corte de Munich ha protestado el nombramiento del Archiduque Juan á la dignidad de Coadjutor del Gran Maestre de la urden Teutónica , y al mismo tiempo ha propuesto algunos medios de evacuar este punto , en virtud de los quates el cargo de Gran</t>
  </si>
  <si>
    <t>fuertes , hasta llegar con SS. AA. á Praga. Se asegura que el gobierno de Bohemia está destinado al Archiduque Juan, y el de Moravia al Archiduque Luis. Según las cartas de Viena han llegado á aquella capital muchos correos de Gonstantinopla y de las fronteras de Turquía. Los primeros han sido</t>
  </si>
  <si>
    <t>yliage renta anualmente 50® florines. Se asegura que se ha destinado el,gobierno de Bohemia para el Archiduque Juan, y el de la Moravia al Archiduque Luis. Actualmente están visitando ambos Príncipes las dos provincias. EJ Barón de Colli, Teniente-Feld-Mariscal al servicio de la Austria, ha sid</t>
  </si>
  <si>
    <t>Júañ-Fernañdé</t>
  </si>
  <si>
    <t>atomía, como en1 las operaciones que exigen vendages, sanguijuelas , ventolas &amp;c. : "un tomo ea por D. Júañ-Fernañdé^ del Valle. Se hallarán en casa de Escribano, calle de las Carretas. ; ' ^ ^ Principios de cir‘ii‘gía,-:así en. la pFácticáy como enla teórica : compuestos por D. Ramón Fernandez</t>
  </si>
  <si>
    <t>Juan-Francisco Zamudio</t>
  </si>
  <si>
    <t>aría Somalo, y al Sargento , graduado de Alférez, D. Antonio Perez, y: á Portaguiones á ios Cadetes D. Juan-Francisco Zamudio y D. Nicolás Martínez,, y al Sargento D. Salvador Moreyra. &gt; El Rey se ha servido nombrar para el empleo de Coronel del bata- i llon de. infantería de. Milicias disciplinadas de Blanc</t>
  </si>
  <si>
    <t>Juan-Vidal</t>
  </si>
  <si>
    <t>onerse en exeeucion, señalando el dia 4 de Julio siguiente, dando comisión para ello ai Consiliario D. Juan-Vidal, facilitándose también algunos Diarios de las plazas de España , y también extrangeros, y que se solicite la Real aprobación.” Yf habiendo ocurrido al Rey el mencionado Consulado</t>
  </si>
  <si>
    <t>Juana</t>
  </si>
  <si>
    <t>as de retratos de Pablo de Céspedes,D. Diego Velazquez de Silva, Don Antonio Palomino , de la Reyna Doña Juana, de Carlos v , de Felipe nr , de Felipe iv ,' d*e Felipe v, y de Fernando el vi, á 4 j^s. cada, uno , y el de Carlos nr á 2 rs. i Historia general del Perú , ó Comentarios Reales</t>
  </si>
  <si>
    <t>Juana Barrera</t>
  </si>
  <si>
    <t>sentaron á este exámen, en atención á su aplicación. El dia 9 fue .examinada en los mismos términos Doña Juana Barrera , de edad de 8 años y medio, discípula;del referido Xaramillo; y en atención á su suficiencia e instrucción en la gramática , se la entregó por mano del Señor Director otro» exemp</t>
  </si>
  <si>
    <t>Juana de Cea y Zúñiga</t>
  </si>
  <si>
    <t>endencia de Guamanga, en dicho reyno, habiéndose casado pocos años antes en la ciudad de la Paz con Doña Juana de Cea y Zúñiga, desde cuyo tiempo no se ha tenido mas razón de él: quien tuviere noticia de su existencia se le suplica lo participe á su hermano D. Diego Cónsul Jove, que es el director y dueño</t>
  </si>
  <si>
    <t>JuanCasou</t>
  </si>
  <si>
    <t>da en la Real casa Aduana, y en las provincias á los comisionados siguientes: En Alicante...........D. JuanCasou y compañía. En Avila............... . D. Fernando Echepare y sobrinos. En Badajoz........... D. Tomas Merino Ortiz. En Barcelona........D. Ramón de Llordeüa é hijo. En Báreos.......</t>
  </si>
  <si>
    <t>JuanCreuhet</t>
  </si>
  <si>
    <t>egial de S. Juan de las Abadesas, diócesis de Vique, vacante por fallecimiento de D. Ramón Bosch, á Don JuanCreuhet:para otro Beneficio de patronato eclesiástico inferior, unido con otros dos , y fundados en la catedral de Mallorca, vacante por muerte de D. Lorenzo Alamañy, á D. Nicolás Montane</t>
  </si>
  <si>
    <t>JuaníAntonio Montes</t>
  </si>
  <si>
    <t>un reglamento para impedir él progreso de dichas epidemias y contagios: dividido en dos libros por Don JuaníAntonio Montes, Cirujano mayor titular por S. M. del Real Hospital de San Carlos y Réál familia dél Real sitio de Aranjuez: un tomo en 4.0 Se hallará en Ja librería de Hurtado, calle de las Carr</t>
  </si>
  <si>
    <t>Juano, Manuel</t>
  </si>
  <si>
    <t>Manuel Juano</t>
  </si>
  <si>
    <t>n, inteligencia del maestro, zelo del Coronel y demas xefes en procurársela. Los de primera clase : D. Manuel Juano rué examinado de *oda la ordenanza y de los puntos de ajustes, extractos, procesos, sumarías, conocimiento del fusil 2kc.; hizo una disertación sobre el origen, progresos .y utili</t>
  </si>
  <si>
    <t>Juano, Pedro Antonio</t>
  </si>
  <si>
    <t>Pedro Antonio Juano</t>
  </si>
  <si>
    <t>Drquijo, .Capitán de Fragata de la Real armada. El dia 8 de Mayo últimp fue consagrado el limo. Sr. D. Pedro Antonio Juano, del Consejo de S. M., Obispo de Menorca, en la iglesia del Real monasterio de la Visitación, vulgo las Salesas al Barquillo de esta corte; habiendo sido su consagrante el limo. S</t>
  </si>
  <si>
    <t>JuanTerres</t>
  </si>
  <si>
    <t>de Artillería se ha servido el Rey promoverá Capitán primero de la primera compañía fixa de Ceuta á D. JuanTerres; á Capitán segundo de la de Mallorca á D. Manuel Seró; á Teniente de esta á D. Matías Barguilla, y á Subtenientes de la propia compañía á fot Sargentos D. Francisco Creuet y D. Jo</t>
  </si>
  <si>
    <t>Judas Joseph Romo</t>
  </si>
  <si>
    <t>quín de Urrutia y las Casas: para otra de la de Sigüenza, vacante por muerte de D. Antonio Muñoz, á D. Judas Joseph Romo; y para una Capellanía llamada de los Coronas de la parroquia de S. Miguel de la ciudad de Coi ella, vacante por muerte de D. Miguel de Ibarra, áDon Matías González. Ha concedido</t>
  </si>
  <si>
    <t>Julian'de Diego Martín Garcilaso de la Vega</t>
  </si>
  <si>
    <t>na el mal abuso introducido de usar de los parches de cantáridas: por el Dr. D. Julian'de Diego Martin Garcilaso de la Vega , médico del Real cuerpo de Artillería. Se hallará en la librería de Hurtado, calle de las Carretas. Tratado de hidropesías, escrito por un profesor de medicina de la universidad y claustr</t>
  </si>
  <si>
    <t>Julran González Saez</t>
  </si>
  <si>
    <t>n se procederá en ellos conforme á derecho, entendiéndose por la escribanía del numero de Madrid de D. Julran González Saez. Habiendo fallecido sin disposición testamentaria Henrique Surel, Sargento del cuerpo de Inválidos inhábiles de S. Felipe, natural de Amsterdam , y'de estado soltero, se cita y ll</t>
  </si>
  <si>
    <t>Juncar, Joseph</t>
  </si>
  <si>
    <t>Joseph Juncar</t>
  </si>
  <si>
    <t>do S. M. grados de Coronel de infantería á los Tenientes Coroneles de Artillería D. Manuel.Clairac, D. Joseph Juncar y D. Martin García y Loigorri; ai Xefe de brigada D. Juan de Hara y al Capitán primero D. Joaquín Navarro: á los de Ingenieros D. Juan Casanova y D. Antonio Jacot; y á ios Sargentos m</t>
  </si>
  <si>
    <t>Junco, Joseph</t>
  </si>
  <si>
    <t>Joseph Junco</t>
  </si>
  <si>
    <t>tian de Torres * del Consejo Real, con asistencia de la Real Sociedad económica de amigos del pais. Don Joseph Junco leyó una oración sobre la utilidad de esta enseñanza ; el catedrático, examinadores y varios de los concurrentes preguntaron á los alumnos acerca de todas las partes de la gramáti</t>
  </si>
  <si>
    <t>Justiniani, Príncipe</t>
  </si>
  <si>
    <t>Príncipe Justiniani</t>
  </si>
  <si>
    <t>S. otro Cardenal que se ha reservado in pectore. Pa ris 4 de Febrero. H a llegado á esta capital el Príncipe Justiniani, Guardia noble de S. S. que fue despachado de Roma para traher el aviso del nombramiento de los Cardenales franceses. Al paso por León entregó su carta al Arzobispo de aquella ciu</t>
  </si>
  <si>
    <t>Justis, Francisco</t>
  </si>
  <si>
    <t>Francisco Justis</t>
  </si>
  <si>
    <t>h Sánchez Tagle, D. Francisco Xaramillo, Don Dionisio López Pinto, D. Mariano Carrillo de Albornoz, D. Francisco Justis ,D. Bernardo Landaburu, D. Diego Rejón de Silva y D. LuisLandaburu : al Cadete de Reales Guardias de infantería Wafona D. Mariano Genaro Sentmanat, á los del regimiento de infante</t>
  </si>
  <si>
    <t>Justo García, Juan</t>
  </si>
  <si>
    <t>Juan Justo García</t>
  </si>
  <si>
    <t>ias, acomodadas en la mejor forma para el uso de los párrocos y oradores por los Dres. en filosofía D. Juan Justo García, presbítero, y el P. D. Miguel Martel, C. R. del gremio y claustro de la universidad de Salamanca. Se hallará el tomo i.° en las. librerías de Fernandez, frente á S. Felipe el Rea</t>
  </si>
  <si>
    <t>s, aco;modadas en la mejor forma para el uso de los párrocos y oradores, por los Dres. en filosofía D. Juan Justo García, presbítero, y el P. D. Miguel Martel, C. R., del gremio y claustro de la universidad de Salamanca. Se hallará en la librería de Fernandez, frente á S. Felipe el Real, y de Callej</t>
  </si>
  <si>
    <t>comodadas en la' mejor forriia para uso de, los párrocos y oradores , por los Doctores en filosofía D. Juan Justo García, Presbítero, y el P. D; Miguel Martel. Se hallará con los anteriores en las librerías,de Fernandez, frente á S. Felipe el Real, y de Calleja calle de- Majaderitos. &lt; Núeva edicíón</t>
  </si>
  <si>
    <t>orden de materias, y acomodado en la mejor forma para uso de los párrocos y oradores per los Dres. D. Juan Justo García, presbítero, y el P. D. Miguel Martel, Clérigo reglar, del gremio y claustro de la universidad de Salamanca: para mayor comodidad de los lectores se ha puesto en cada tomo el índi</t>
  </si>
  <si>
    <t>Justo Martín</t>
  </si>
  <si>
    <t>eniente, graduado de Ca-ipitan, D. Mariano Vázquez, y Subtenencias de bandera* al Sargento priañero D. Justo Martin y ál Cadete D? Rafael del Hoyo :enel de'Guadal -laxara Tenéncia al Subteniente de granaderos Di Antonio'Diez Náv’arro; en el de Valencia el empleo de Teniente Coronel al Comandante</t>
  </si>
  <si>
    <t>Justo Martínez de Baños</t>
  </si>
  <si>
    <t>deja'de Santander á D. Francisco Noriega: para el Corregimiento de Letras de la villa de Arévaio á D. Justo Martínez de Baños; y para el de Medina del Campo , que este dexa, á D. Manuel Liorca y Agulló. Habiendo. vistaS. M. los rápidos progresos que han hecho los discí</t>
  </si>
  <si>
    <t>Justo Rodríguez, Juan</t>
  </si>
  <si>
    <t>Juan Justo Rodríguez</t>
  </si>
  <si>
    <t>para este Arcedianato al Chalis •tre D. Miguel det Moral; y para la Chantría al Canónigo Magistral Don Juan Justo Rodríguez. Igualmente se ha servido S. M". nombrar para la Dignidad de Chantre de la catedral del Cuzco, vacante por fallecimiefl‘,‘</t>
  </si>
  <si>
    <t>Kaiser</t>
  </si>
  <si>
    <t>o por su diputado al General Andermatt. El cantón de underwald ha elegido á los ciudadanos Kaiser y Y'onfiue para igual encargo. Estos dias fué conducido ante el General Ney el redactor de uno de los diarios de Berna, á causa de cierros puntos que en ellos se tocaban;</t>
  </si>
  <si>
    <t>Kantenskoy, Conde</t>
  </si>
  <si>
    <t>Conde Kantenskoy</t>
  </si>
  <si>
    <t>un beneficio de 5# por 100 en favor de los que deben satisfacer estos derechos. .. El General F. M. Conde Kantenskoy, que en tiempo de las contestaciones y preparativos de guerra contra Suecia &gt; había sido llamado aquí, ha vuelto á marchar estos dias. Berlín 21 de Mayo. E I Príncipe heredero de</t>
  </si>
  <si>
    <t>Kayser, Joseph</t>
  </si>
  <si>
    <t>Joseph Kayser</t>
  </si>
  <si>
    <t>naderos D, Manuel Gerig; ¿Ayudante al Teniente D. Fidel de Reding, y á Tenientes á los Subtenientes D. Joseph Kayser, de granaderos, y D. Baltasar Zeberg; y á Subteniente en el de Cour^en al Cadete D. Mauricio Gard. En el Real cuerpo de Artillería se ha dignado S. M. promover á Teniente,Coronel</t>
  </si>
  <si>
    <t>Keene</t>
  </si>
  <si>
    <t>a de qué se prorogase por tiempo determinado el bilí que autoriza al banco á no pagar en especie.”— Mr. Keene dixo: „Que quanto ántes se haría á Ja Cámara una propuesta relativa al Carnate , cuyo negocio creía poco claro para la mayor parte de los miembros; y por tanto convenia se comunic</t>
  </si>
  <si>
    <t>Keith, Almirante</t>
  </si>
  <si>
    <t>Almirante Keith</t>
  </si>
  <si>
    <t>arcado ningún cuerpo de tropas , no obstante haberse asegurado así. S. M. Británica ha concedido al Almirante Keith, el título y dignidad de Barón del Reyno-Unido de la Gran Bretaña é Irlanda con el nombre de Barón Keíth, para él y sus sucesores varones. En el Morning Chronicle de 12 de Setiemb</t>
  </si>
  <si>
    <t>Keíth, Barón</t>
  </si>
  <si>
    <t>Barón Keíth</t>
  </si>
  <si>
    <t>Keith, el título y dignidad de Barón del Reyno-Unido de la Gran Bretaña é Irlanda con el nombre de Barón Keíth, para él y sus sucesores varones. En el Morning Chronicle de 12 de Setiembre se ha publicado este estado del exército británico como se hallaba un mes hace. En Inglaterra, Guardia</t>
  </si>
  <si>
    <t>Keith, Lord</t>
  </si>
  <si>
    <t>Lord Keith</t>
  </si>
  <si>
    <t>strucción pública, en dotar hospicios u otros establecimientos útiles. Londres J4 de Octubre. &gt; E 1 Lord Keith ha regresado á las Dunas , habiendo concluido su crucero en las costas de Francia. Se dice que S. S. ha examinado muy atentamente el estado de las fortificaciones francesas , y qu</t>
  </si>
  <si>
    <t>Kellerman, General</t>
  </si>
  <si>
    <t>General Kellerman</t>
  </si>
  <si>
    <t>salió de esta capital el día 24 del corriente para su destino, y se aguarda de un momento á otro al General Kellerman , Inspector de caballería de dichas tropas, quedando siempre General en xefe de todas ellas el General St. Cyr. Venecia jo de Julio. E n el día 23 del corriente una fragata ingles</t>
  </si>
  <si>
    <t>Kemble</t>
  </si>
  <si>
    <t>arios del teatro de Covent*-Garden, que han nombrado por segando comandante al famoso actor trágico Mr. Kemble, y del Duque de Glocester que ha establecido su quartel general en Liverpool. Las mismas cartas añaden que' á pesar de la gran cosecha que ha habido este año, se ha subido el prec</t>
  </si>
  <si>
    <t>Kensington, Lord</t>
  </si>
  <si>
    <t>Lord Kensington</t>
  </si>
  <si>
    <t>harán ofensiva. Mr. Browne sostiene que el peligro actual no viene de parte de los Ministros, y el Lord Kensington se le opone diciendo que por falta de habilidad no abrieron antes los ojos sobre la conducta de la Francia: que era preciso haber con tiempo advertido á todos estuviesen sobre sí</t>
  </si>
  <si>
    <t>Keutsh</t>
  </si>
  <si>
    <t>rzado nuevamente el cordon de tropas dinamarquesas que se halla en las fronteras del Lauenboürg. El Dr. Keutsh, natural de Santo Tomas, y residente en Santa Cruz, en donde está generalmente estimado á causa de sus conocimientos en la medicina, ha curado con felicidad en esta última isla, u</t>
  </si>
  <si>
    <t>Keyna, Vicente</t>
  </si>
  <si>
    <t>Vicente Keyna</t>
  </si>
  <si>
    <t>e Rosíque; á Sargento mayor al Xefe de brigada D. Juan de Ara; á Xefe de brigada al Capitán primero D. Vicente Keyna; á Capitán primero ai Capítan segundo D. Francisco Oyarzabal; á Capitanes segundos á lós Tenientes D. Ignacio López y D. Tomas Anillo, y á Tenientes á D. Jacobo Gil de Avalle y á</t>
  </si>
  <si>
    <t>Kieffer</t>
  </si>
  <si>
    <t>las naciones europeas.” El Embaxador otomano fue á la audiencia acompañado del ciud. Kieffer, Secretario intérprete de la legación francesa en Constantinopla, y con la comitiva de sus Secretarios é Intérpretes, un médico y un dervis, dependientes de la</t>
  </si>
  <si>
    <t>Kilwarden, Lord</t>
  </si>
  <si>
    <t>Lord Kilwarden</t>
  </si>
  <si>
    <t>bó un combate general en las inmediaciones de la calle de Tomas, y en seguida en toda la ciudad. Al Lord Kilwarden, primer magistrado del banco del Rey, que entraba en la ciudad como á las 9 de la misma noche, le hicieron salir de su coche con su. sobrino , y los mataron á lanzadas. Mr. Browñ,</t>
  </si>
  <si>
    <t>Kinnaird</t>
  </si>
  <si>
    <t>hecho, es una de las mejores providencias que se han presentado al Parlamento sobre esta materia.” Mr. Kinnaird habló en favor de la suspensión de la lectura del bilí, fundándose en que una providencia de tanta importancia, debía meditarse mas largo tiempo, ademas de parecerle no estar bien</t>
  </si>
  <si>
    <t>Kirrpatrick, Capitán</t>
  </si>
  <si>
    <t>Capitán Kirrpatrick</t>
  </si>
  <si>
    <t>estimadas; adoptáronse las otras, y se separó la Cámara. Las últimas cartas dte Bombay dicen que el Capitán Kirrpatrick ha hecho un tratado con el Nizam, en que este Príncipe cede á la compañía de la India la soberanía perpetua de todo el territorio adquirido por S. A. en virtud de los tratados de</t>
  </si>
  <si>
    <t>Kiss, Andrés</t>
  </si>
  <si>
    <t>Andrés Kiss</t>
  </si>
  <si>
    <t>Capitán ai Teniente de granaderos D. Ambrosio Echeverría; á Teniente de granaderos al de fusileros Don Andrés Kiss; á Tenientes á los Subtenientes de granaderos D. Higínio ligarte y D. Joseph Moral; á Subtenientes de granaderos á los de fusileros D. Manuel Adan y D. Hilario Figueroa, y á Subte</t>
  </si>
  <si>
    <t>ía de la Corona, de Nueva-España, se ha servido el Rey promover á Capitán al Teniente de granaderos D. Andrés Kiss: en el de infantería de Puebla á Teniente de granaderos al de fusileros D. Francisco Perez; á Teniente de fusileros al Subteniente de granaderos D. Miguel Piñeyro; á Subteniente d</t>
  </si>
  <si>
    <t>Kjor, Capitán</t>
  </si>
  <si>
    <t>Capitán Kjor</t>
  </si>
  <si>
    <t>con permiso de llevarla puesta en un ojal del vestido.—Igual medalla, pero de oro, ha dado S. M. al Capitán Kjor en testimonio de su satisfacción por los servicios esenciales que hizo á 9 franceses en Smirna al tiempo que la Puerta declaró la guerra á la Francia. Carlsruhe 2,3 de Febrero. A ca</t>
  </si>
  <si>
    <t>Klein, Fernando</t>
  </si>
  <si>
    <t>Fernando Klein</t>
  </si>
  <si>
    <t>ReZ 1,4 conferido' el empleo de CapitartsegHndb eñ el’ regimiento de infantería suizo: de Schmid á D. Fernando Klein , Teniente de arana! deros del mismo cuerpo,: ha nombrado Teniente de granaderos del segundo batallón del de suizos de Ruttiman á D; Víctor Schwendbihí Teniente de fusileros de es</t>
  </si>
  <si>
    <t>Klein, General</t>
  </si>
  <si>
    <t>General Klein</t>
  </si>
  <si>
    <t>ntos principales del Electorado. Viena 27 de Agosto. . A principios de Setiembre saldrán de aquí el General Klein .y. Mr. de Pidoli, Secretario de. Guerra, para poner en práctica la nueva planta militar en las fronteras de la monarquía austríaca.—Diariamente pasan por aquí regimientos de infa</t>
  </si>
  <si>
    <t>Knobelsdorff</t>
  </si>
  <si>
    <t>pla con el mismo carácter de que estaba revestido, durante el viage del Lord Elgin al Archipiélago. Mr. Knobelsdorff, Ministro de Prusia, no había emprendido su viage para Berlín por estar enfermo Mr. Darrest, que lo reemplaza en calidad de Encargado de Negocios; pero hallándose restablecido va</t>
  </si>
  <si>
    <t>Kock</t>
  </si>
  <si>
    <t>eral del Imperia, siendo la mas importante la que en calidad de Ministro interino de Dinamarca pasó Mr. Kock /Ministro de Oldembourg y Lubeck. Dice en ella que S. M. Danesa desiste de las protestas y reservas que tuvo á bien interponer acerca de las disposiciones del recenso general re</t>
  </si>
  <si>
    <t>Kollowrath, General</t>
  </si>
  <si>
    <t>General Kollowrath</t>
  </si>
  <si>
    <t>is, hermanos de S. M. I., han llegado con el encargo de visitar todas las fortalezas dé Bohemia. El General Kollowrath , comandante en xefe de aquel Rey-no, los ha recibido en las fronteras á ía cabeza de un cuerpo de tropas escogidas, á quienes hizo maniobrar en su presencia, acompañándolos á Koe</t>
  </si>
  <si>
    <t>Koning</t>
  </si>
  <si>
    <t>s en los caminos mas freqiientados. Muchas personas que iban de Constantínopla á Viena, entre otros Mr. Koning, Encargado de negocios de Suecia, han tenido que detenerse en Kirklissa, pidiendo á la Puerta una escolta de 1® hombres para continuar su camino. La libertad que por último ha con</t>
  </si>
  <si>
    <t>Kotzbue</t>
  </si>
  <si>
    <t>alista, que es el célebre Dr. Eilesius; los individuos de la embaxada del Japón, y los dos hijos de Mr. Kotzbue. Ha dado el Emperador varias disposiciones en beneficio de los habitantes de esta ciudad. Va á construirse un quartel para un regimiento de infantería en uno de los barrios mas po</t>
  </si>
  <si>
    <t>Kretschmann</t>
  </si>
  <si>
    <t>hacienda. Hallábase esta en tan deplorable estado, que el Príncipe tuvo que atraher á su servicio á Mr. Kretschmann, Consejero íntimo del Rey ae Prusia en Bareuth, y muy conocido por sus grandes talentos para esta especie de administra. cion. Hízolo primer Ministro, y logró por sus sabios regla</t>
  </si>
  <si>
    <t>Krusenstern, Capitán</t>
  </si>
  <si>
    <t>Capitán Krusenstern</t>
  </si>
  <si>
    <t>ublos) para ayuda de la expedición al rededor del mundo, que en todo Junio partirá de Cronstadt. El Capitán Krusenstern, que la manda , tiene mucho crédito en la marina, como que fué uno de los 12 jóvenes escogidos por la Emperatriz Catalina para que sirviendo en la marina inglesa adquiriesen los g</t>
  </si>
  <si>
    <t>os que han llegado de Inglaterra destinados á hacer el viage al rededor del mundo á las órdenes del Capitán Krusenstern. Se hacen actualmente las provisiones para verificarlo. También fué S. M. á bordo de los seis navios que están en la rada, sin reparar en que el tiempo era borrascoso. El Síndico</t>
  </si>
  <si>
    <t>s del Imperio; pero irá primero, según dicen, á Cronstadt, á asistir á la salida de la esquadra del Capitán Krusenstern. Hay mucha actividad en la pesquería de arenques establecida en Archangel, y las pruebas de salarlo á la holandesa han salido muy bien. Vierta 5 de Agosto. L as cartas de la front</t>
  </si>
  <si>
    <t>Krusenstren, Capitán</t>
  </si>
  <si>
    <t>Capitán Krusenstren</t>
  </si>
  <si>
    <t>y corrieron las fuentes en obsequio suyo, Petersburgo 2/ de Mayo. A caba de regalar el Emperador al Capitán Krusenstren, comandante de dos embarcaciones destinadas á dar vuelta al globo , un terreno en Lithuania, que renta anualmente 3® rublos.__ Ai Asesor del colegio, Mr. Pfeisser, autor 4e la gaz</t>
  </si>
  <si>
    <t>Kumenskoy, Mariscal</t>
  </si>
  <si>
    <t>Mariscal Kumenskoy</t>
  </si>
  <si>
    <t>, despachándose de resultas varios correos á París y Petersburgo. Petersburgo 22 de Abril. E i Eeld-Mariscal Kumenskoy , bien conocido por sus talentos militares , ha sido llamado á Petersburgo, y se cree que se le empleará en negocios importantes, así como también al Conde de Buxhowden, que ha en</t>
  </si>
  <si>
    <t>La Coste, Francisco</t>
  </si>
  <si>
    <t>Francisco La Coste</t>
  </si>
  <si>
    <t>ería de Toledo á D. Salvador Salazar: en el de Ilibernia á D. Bernardo Alvarez; y en el de Borbon á D. Francisco La Coste y á D. Mayeuil de Borredon, todos Subtenientes de granaderos de los mismos cuerpos; y á Subteniente de bandera en el de Burgos al Cadete D. Antonio de Ramos. - • Asimismo se ha serv</t>
  </si>
  <si>
    <t>Labastida, Pedro</t>
  </si>
  <si>
    <t>Pedro Labastida</t>
  </si>
  <si>
    <t>de la Corona, á los Sargentos mayores de los mismos regimientos, graduados de Tenientes Coroneles, D. Pedro Labastida, D. Joseph Imaz, D. Antonio Moya, D. Antonio Luxan, D. Luis Bertrán, D. Nicolás Darcourt, D. Francisco de Corts, D. Cárlos Fitzgerald, D. Juan Brikdale, D. Juan O-Donovan, D. Juan</t>
  </si>
  <si>
    <t>Labeaga, Ramón</t>
  </si>
  <si>
    <t>Ramón Labeaga</t>
  </si>
  <si>
    <t>icio de la parroquia de Albaygar, diócesis de Pamplona, vacante por muerte de D. Juan Fernandez , á D. Ramón Labeaga, Catedrático de latinidad del Seminario Con</t>
  </si>
  <si>
    <t>Laborda, Manuel</t>
  </si>
  <si>
    <t>Manuel Laborda</t>
  </si>
  <si>
    <t>eneficio que se halVa vacante en la parroquial de Autilla del Páramo, en la diócesis de Palencia, á D. Manuel Laborda, con retención del Préstamo del lugar de Casaseca de Campean, en la diócesis de Zamora, para que le nombró S. M. en decreto de 3 de Octubre del.año próximo pasado. S. M. ha confer</t>
  </si>
  <si>
    <t>Laborda, Sebastián</t>
  </si>
  <si>
    <t>Sebastián Laborda</t>
  </si>
  <si>
    <t>la parroquial de la villa de Sadaba, diócesis de Jaca , vacante por muerte de D. Joseph Serrano, á D. Sebastian Laborda: para otro Beneficio de la parroquial de Falcét, diócesis de Tarragona, vacante por fallecimiento ae D. Magín Puig, á D. Pedro Caíala: para la Prestamera de la villa de los Molare</t>
  </si>
  <si>
    <t>Lacaba, Ignacio</t>
  </si>
  <si>
    <t>Ignacio Lacaba</t>
  </si>
  <si>
    <t>yo. D on Faustino Rodríguez, Cirujano titular de esta villa, noticioso de que el Cirujano de Cámara D. Ignacio Lacaba propagaba el pus vacuno en el Real sitio de Aranjuez en el año próximo pasado, procuro avistarse con dicho facultativo para que se le facilitase, lo que consiguió inmediatamente,</t>
  </si>
  <si>
    <t>Lacalle, Cayetano</t>
  </si>
  <si>
    <t>Cayetano Lacalle</t>
  </si>
  <si>
    <t>primero y Cadete del mismo: á Ayudante y Teniente en el de España al Teniente, graduado de Capitán, D. Cayetano Lacalle, y al Subteniente de granaderos D. Joaquín Navarro: á Subteniente de bandera en el de Burgos al Sargento primero de granaderos D. Antonio García: á Subtenientes de bandera en el d</t>
  </si>
  <si>
    <t>Lacasa, Joseph</t>
  </si>
  <si>
    <t>Joseph Lacasa</t>
  </si>
  <si>
    <t>r: para otro de la parroquial de la villa de Sadaba, diócesis de Jaca, vacante por fallecimiento de D. Joseph Lacasa, á £►. Joseph Manuel Lorbes: para dos dos Beneficios simples servideros de la parroquial de Santa María de la villa deMaqueda, en la diócesis de Toledo, vacantes por renuncia de D</t>
  </si>
  <si>
    <t>Lacepede</t>
  </si>
  <si>
    <t>ias de los mas célebres filósofo* griegos. Historia natural de los peces por el ciud. Lacepede. Anécdotas de una Princesa de Rusia en la isla de Francia. Noticias del interior del Africa. Discurso histórico-legal sobre el origen, progresos y utilidad del</t>
  </si>
  <si>
    <t>de honor ha tenido su segunda junta en el palacio del gobierno en St. Cloud. El ciud. Lacepede, Senador, ha sido,nombrado Gran Canciller; y el ciud. Dejean, Director de la Administración de la Guerra, Tesorero mayor. . , ’ ‘ Madrid 1g de Setiembre, E l R</t>
  </si>
  <si>
    <t>tomía ; y copia de una carta de Jeffersoti, Presidente de los EstadosUnidos, al ciud. Lacepede &amp;c. Continúa la subscripción al 7.0 trimestre en la librería de Escribano, calle de las Carretas. Catecismo fundamental y universal, por el Dr. D. Antonio Juan</t>
  </si>
  <si>
    <t>Lacomba, Joseph</t>
  </si>
  <si>
    <t>Joseph Lacomba</t>
  </si>
  <si>
    <t>Pedro Bofarrull y D. Sebastian de Arroyo , de granaderos, D. Gabriel Tinajero , D. Antonio García, D. Joseph Lacomba, D. Domingo de Aragón , D. Joseph Nuñez, de bandera, y D. Diego Pizarro ; á Subtenientes de granaderos al de fusileros D. Ramón Valldejuli, y al de bandera D. Luis Gineti; á Subte</t>
  </si>
  <si>
    <t>Ladoux y Bonal, Antonio</t>
  </si>
  <si>
    <t>Antonio Ladoux y Bonal</t>
  </si>
  <si>
    <t>ron, traduxéron é hicieron varias observaciones filológicas muy importantes, los caballeros jóvenes D. Antonio Ladoux y Bonal, cursante de filosofía de esta universidad, y D. Joseph María Figueras, Cadete del regimiento de Guadalaxara. Estuvieron amenizados estos exercicios con buenos intermedios de la e</t>
  </si>
  <si>
    <t>Lafarga, Joseph Antonio</t>
  </si>
  <si>
    <t>Joseph Antonio Lafarga</t>
  </si>
  <si>
    <t>muerte de T&gt;. Bernardo de la-Ru* á D. Francisco Bartolomé Hernández. El Rey ha venido en conceder á D. Joseph Antonio Lafarga , Oidor de la Chanciilería de Valladolid, su jubilación con la mitad clel sueldo de su plaza: para la que resulta vacante de Oidor de la misma Chancillería por esta jubilación se</t>
  </si>
  <si>
    <t>Lafon</t>
  </si>
  <si>
    <t>es de laxieneraí y arte rife tnaAtetídr y restablecerla salud del hombre,.escrita en francés por el Dr. Lafon. Los.subscriptores acudirán ;í recoger el 2.0 y último tomo: esta obra ofrece á Ios-profesores de medicina y cirugía unos preliminares nuevos y filosóficos para estudiar con mas f</t>
  </si>
  <si>
    <t>Lafond</t>
  </si>
  <si>
    <t>mundo, y es un'nuevo descubrimiento hecho por dos Médicos, á saber: Mr. Aubon en Constantinopla, y Mr. Lafond en Salónica, ciudad de Macedonia. Los experimentos de estos dos Médicos, que jamas han tenido alguna relación entre sí, confirman que la vacuna preserva de la peste. Las pruebas del</t>
  </si>
  <si>
    <t>Lafont</t>
  </si>
  <si>
    <t>enido por conveniente no retardarlo, manifestando los hechos que siguen.__.Hace cerca de un año que Mr. Lafont, Médico francés, establecido hace mucho tiempo en Salónica, á quien he proporcionado los medios de propagar la vacunación en Macedonia, me escribió que había algunas sospechas de</t>
  </si>
  <si>
    <t>Laforest</t>
  </si>
  <si>
    <t>sus tropas la menor violación del territorio prusiano. No es menos satisfactoria la declaración que Mr. Laforest, nuevo Embaxador de la República francesa en Berlín, ha hecho sobre el mismo asunto. Hamburgo 4 de Jimio. * E 1 Vice-Cónsul de Inglaterra, residente aquí, ha dirigido el 2 á los C</t>
  </si>
  <si>
    <t>Laforet</t>
  </si>
  <si>
    <t>la República francesa envió aquí al mismo tiempo el Ministro extraordinario el ciud. Laforet; y habiendo resuelto S. M. el Emperador de Rusia interpone* su mediación de común acuerdo con el gobierno frasees para arreglar el punto de indemnizaciones , y</t>
  </si>
  <si>
    <t>Laforét</t>
  </si>
  <si>
    <t>do llamado aquí, ha vuelto á marchar estos dias. Berlín 21 de Mayo. E I Príncipe heredero de Orange,Mr. Laforét, Ministro de Francia,Mr. de Chanikoff, Teniente General ai servicio de Rusia , y Ministro, cerca de la corte de Saxonia, han llegado casi al mismo tiempo a esta ciudad. S. M. acab</t>
  </si>
  <si>
    <t>orancia 6 preocupación Jes impide hacer uso de ella. j» Berlín 2 4 de Mayo. I A ciud. Laforet, Ministro extraordinario de la República francesa , ha tenido su primer audiencia de S. M., que lo recibió con la mayor distinción. Hace 15 dias que se nota mu</t>
  </si>
  <si>
    <t>de este mes á verse con S. M., en cuyo dia tuvo su primera audiencia del Rey el ciud. Laforet, Ministro plenipotenciario de la República francesa. Uamburgo 13 de Julio• E .1 Ministro de Estado de la corte de Copenhague, Conde de Bernstorf, iia llegado á</t>
  </si>
  <si>
    <t>Lafuente, Juan</t>
  </si>
  <si>
    <t>Juan Lafuente</t>
  </si>
  <si>
    <t>seph Montero de Espinosa : en el primer batallón de Voluntarios de Aragón á Teniente al Subteniente D. Juan Lafuente; y en el batallón de Voluntarios de Campo Mayor á Capitán segundo al Teniente de granaderos del regimiento de infantería de Zaragoza, graduado de Capitán,D.Lúeas Fernandez. En Amé</t>
  </si>
  <si>
    <t>Laguna, Manuel</t>
  </si>
  <si>
    <t>Manuel Laguna</t>
  </si>
  <si>
    <t>eniente D. Severo Menaza: en el de Voluntarios de la Corona á Teniente al Subteniente de granaderos D. Manuel Laguna; y en el batallón de Voluntarios de Cataluña á primer Ayudante al Capitán segundo D. Francisco Vila, y á Capitán segundo al Teniente de Voluntarios de Barcelona D. Cárlos Ribas. A</t>
  </si>
  <si>
    <t>Lahite, Luis</t>
  </si>
  <si>
    <t>Luis Lahite</t>
  </si>
  <si>
    <t>el regimiento de infantería de Buenos-Ayres se I13 servido el Rey promover ájCapitanes al Ayudante D. Luis Lahite y á los Tenientes de granaderos:D. Sebastian Planchón, D. Roque Rioboó y D« Bernardo Lorenzo; á Ayudante al Teniente D. Melchor de Reyna; á Tenientes de granaderos á los de fusilero</t>
  </si>
  <si>
    <t>Lamar, Joseph</t>
  </si>
  <si>
    <t>Joseph Lamar</t>
  </si>
  <si>
    <t>de infantería de Saboya se ha servido promover el Rey á Ayudante al Teniente, graduado de Capitán, D. Joseph Lamar; y en el de infantería de Aragón á Subteniente de bandera al Sargento primero de granaderos D. Romualdo Martin. En el Real cuerpo de Artillería se ha servido el Rey promover á Ten</t>
  </si>
  <si>
    <t>Lamberto Lhoneur</t>
  </si>
  <si>
    <t>. Romualdo de la Fuente; y en el batallón de Voluntarios, de Valencia á Capitán segundo al Teniente D. Lamberto Lhoneur. La Real Sociedad económica de esta corte, con el deseo de extender la plantación de las patatas, conocidas con el nombre de gallegas &lt;5 bastardas, y de procurar á ios pueblos de</t>
  </si>
  <si>
    <t>Lambí, Benito Joseph</t>
  </si>
  <si>
    <t>Benito Joseph Lambí</t>
  </si>
  <si>
    <t>iago de Zuloaga: para la Canongía penitenciaria de la catedralde Cartagena , vacante por ascenso de D. Benito Joseph Lambí á la Tesorería, á D. Juan Marimon Henriquez, Magistral de la catedral de Mérida de Maracaybo: para la.Ración de la de Popayan, vacante por ascenso de D. Andrés Marcelino Perez á l</t>
  </si>
  <si>
    <t>e Arcediano de la catedral de Cartagena, vacante por tallecí miento Je Don Lázaro, Joseph Blanco, á D. Benito Joseph Lambí, Dignidad de Chantre de la-misma catedral jipara esta Chautría á DvJotjeph de Puyana, Maes</t>
  </si>
  <si>
    <t>Lana, Joseph</t>
  </si>
  <si>
    <t>Joseph Lana</t>
  </si>
  <si>
    <t>á Capitanes primeros á los Capitanes segundos D. Juan Carrera, D. Joseph Michan, D. Gregorio Pardo, D. Joseph Lana, D. Juan Sánchez, D. Joseph Ruiz, D. Francisco-Reyna y D. Joseph Vergara. El Rey ha nombrado en el Real cuerpo de Ingenieros Capitán primero á D. Pedro Grinda, Capitán segundo; y</t>
  </si>
  <si>
    <t>Landaburu, Bernardo</t>
  </si>
  <si>
    <t>Bernardo Landaburu</t>
  </si>
  <si>
    <t>rancisco Xaramillo, Don Dionisio López Pinto, D. Mariano Carrillo de Albornoz, D. Francisco Justis ,D. Bernardo Landaburu, D. Diego Rejón de Silva y D. LuisLandaburu : al Cadete de Reales Guardias de infantería Wafona D. Mariano Genaro Sentmanat, á los del regimiento de infantería de Buenos-Ay-, res</t>
  </si>
  <si>
    <t>Landamman</t>
  </si>
  <si>
    <t>rito al primer Cónsul. Bonaparte} primer Cónsul de la República francesa, d los ciudadanos Landamman y miembros de la Dieta general de Suiza. ,,Ciudadanos Landamman y miembros de la Dieta general de Suiza: me recordáis uno de los mas dichosos momentos de mi -vid</t>
  </si>
  <si>
    <t>Landamman de la Suiza, General</t>
  </si>
  <si>
    <t>General Landamman de la Suiza</t>
  </si>
  <si>
    <t>plear las cantidades que sean necesarias para socorrer los prisioneros. Friburgo jj de ¿(gasto. E 1 General Landamman de la Suiza escribió al Rey de Prusia, con fecha de 25 de Mayo, participándole la mudanza de gobierno en este pais, y el 7 del corriente mes ha recibido la respuesta de S. M., con fecha de 22 d</t>
  </si>
  <si>
    <t>Landamman, General</t>
  </si>
  <si>
    <t>General Landamman</t>
  </si>
  <si>
    <t>ad que dependan de mí.** Esta carta concluye con expresiones de suma consideración á la persona del General Landamman. Una epizootia cruel hace muchos daños en nuestro desgraciado cantón. Mas de 300 vacas han muerto en las montañas de Gruyere, abandonadas para impedir el mal contagioso de que est</t>
  </si>
  <si>
    <t>Lander, Domingo Antonio</t>
  </si>
  <si>
    <t>Domingo Antonio Lander</t>
  </si>
  <si>
    <t>ierra, Cura Rector ¡de la misma catedral: para la Tesorería de la de Caracas, vacante por muerte de D. Domingo Antonio Lander, al Canónigo Doctoral D. Santiago de Zuloaga: para la Canongía penitenciaria de la catedralde Cartagena , vacante por ascenso de D. Benito Joseph Lambí á la Tesorería, á D. Juan M</t>
  </si>
  <si>
    <t>Landivar, Diego</t>
  </si>
  <si>
    <t>Diego Landivar</t>
  </si>
  <si>
    <t>de Ro-&gt; bles: para la Ración de la catedral de Calahorra, vacante por muerte de IX Manuel Romero, á D. Diego Landivar: para el Beneficio del lugar de Palacios de Goda, en la diócesis de Avila, vacante por fallecimiento de D. Manuel Torreño, á D. Juan Mas, con la obligación de residirlo por sí mis</t>
  </si>
  <si>
    <t>Langles, Joseph</t>
  </si>
  <si>
    <t>Joseph Langles</t>
  </si>
  <si>
    <t>e de granaderos al ce u'ile— ros D. Joseph Carvallo ; á Tenientes á los Subtenientes de gianacieres D. Joseph Langles y D. Ventura Bustillos ; á Subtenientes ce granaderos á los de fusileros D, Antonio Ortega y D. Joseph Aristizabal , y á Subtenientes de bandera al Cadete D. Antonio Bayot y al Saigen</t>
  </si>
  <si>
    <t>Lannes, General</t>
  </si>
  <si>
    <t>General Lannes</t>
  </si>
  <si>
    <t>tería á los cantones italianos para activar el pago del impuesto de guerra. Parts 2 de Febrero. E 1 General Lannes, Enviado extraordinario y Ministro Plenipotenciario cerca de S. A. R. el Príncipe Regente de Portugal, ha sido presentado al primer Cónsul por el Ministro de Relaciones exteriores</t>
  </si>
  <si>
    <t>Lapapese, Joseph</t>
  </si>
  <si>
    <t>Joseph Lapapese</t>
  </si>
  <si>
    <t>o S. Feiipe. Tratado de hilar, devanar, doblar y torcer las sedas según el método de Vaucanson, por D. Joseph Lapapese, con una disertación sobre la ventaja de este método respecto del antiguo por el Dr. D. Francisco Ortells y Gamboa, presbítero: publicado para que se propague la perfección de la</t>
  </si>
  <si>
    <t>Lapuchin, Príncipe</t>
  </si>
  <si>
    <t>Príncipe Lapuchin</t>
  </si>
  <si>
    <t>Capitan-Baxá del hecho, ha hecho arrasar la .aldea.. . , 'E'" Petersbu.rg.o 28 de Oftubre... " , 1 Príncipe Lapuchin, nuevo Ministro de la Justicia, ha pub.licado en las. gazetas de hoy, que hlbiendo recibido por el corre,o varias c~rtas anónilnas so bre la conducta de muchos eu:pleados del gobl</t>
  </si>
  <si>
    <t>Larburu, Pedro Ignacio</t>
  </si>
  <si>
    <t>Pedro Ignacio Larburu</t>
  </si>
  <si>
    <t>rroquial de Valverde, partido de Ciudad-Real, en la misma diócesis de Toledo, vacante por muerte de D. Pedro Ignacio Larburu, á D. Sebastian Benítez. No habiendo tenido efecto el nombramiento que hizo S. M. por decreto de i.° de Mayo de este año, en D. Leonardo deUrruchi, para una Ración de la colegial</t>
  </si>
  <si>
    <t>Larinaga, Pablo</t>
  </si>
  <si>
    <t>Pablo Larinaga</t>
  </si>
  <si>
    <t>ngo Larion: para la Chantría ai Tesorero D. Joseph Ignacio Alvarado : para la Tesorería al Canónigo D. Pablo Larinaga; para esta Canongía al Racionero D. Bartolomé Bueno; y para la Ración al Medio Racionero Don Jdiguel Dulce. . ' S. M. se ha servido nombrar Teniente del regimiento de infantería d</t>
  </si>
  <si>
    <t>Larion, Domingo</t>
  </si>
  <si>
    <t>Domingo Larion</t>
  </si>
  <si>
    <t>. Francisco de Santiago Concha , Arcediano de la referida iglesia: para este Arcedianato al Chantre D. Domingo Larion: para la Chantría ai Tesorero D. Joseph Ignacio Alvarado : para la Tesorería al Canónigo D. Pablo Larinaga; para esta Canongía al Racionero D. Bartolomé Bueno; y para la Ración al</t>
  </si>
  <si>
    <t>Larochefoucault-Liancourt</t>
  </si>
  <si>
    <t>e el nuevo método de inoculación, inventado por el Dr. Jenner, y trahido por el ciud. Larochefoucault-Liancourt á París, en donde ha tenido el mas favorable acogimiento de los sabios y de los buenos ciudadanos.— La junta ha llegado felizmente, después de tres años de con</t>
  </si>
  <si>
    <t>Larrazabat, Manuel</t>
  </si>
  <si>
    <t>Manuel Larrazabat</t>
  </si>
  <si>
    <t>ento de infantería de la Corona fixo de NuevaEspáña; y Compañía en el de dragones de Buenos-Ayres á D. Manuel Larrazabat, Ayudante del de milicias disciplinadas ae caballería del mismo Buenos-Ayres. La Real academia del Derecho Español, en junta general del día 17 de Diciembre, adjudicó: una medalla</t>
  </si>
  <si>
    <t>Larrjpa, Domingo</t>
  </si>
  <si>
    <t>Domingo Larrjpa</t>
  </si>
  <si>
    <t>el de Extremadura al Capitán del de granaderos Voluntarios de Estado, graduado de Teniente Coronel, D. Domingo Larrjpa: las de los de Jaén y Voluntarios de Castilla á los Capitanes del dé Aragón Don Pedro Santiago y D. Antonio Vicente Fernandez : la del de Borbon alCapitán del de Mallorca, graduad</t>
  </si>
  <si>
    <t>Larronde, Pedro</t>
  </si>
  <si>
    <t>Pedro Larronde</t>
  </si>
  <si>
    <t>ambién ha promovido S. M. en el regimiento de infantería de la Luisiana á Capitanes á ios Tenientes D. Pedro Larronde, D. Martin Palao, D. Gerónimo Yebenes, D. Juan Delassise y D. Luis Piernas , el segundó, tercero y quinto Ayudantes, y el quarto de granaderos; á Ayudan-' tes á los Tenientes D. J</t>
  </si>
  <si>
    <t>Lasala, Joseph</t>
  </si>
  <si>
    <t>Joseph Lasala</t>
  </si>
  <si>
    <t>Narciso Belloc; á supernumerario á D. Francisco Pío Manrique de Lara; á Brigadier al Sub-Brígadier D. Joseph Lasala; á Sub-Brigadier al Cadete D. Pedro Torres; á Cadetes de número á los supernumerarios D. Eugenio Ximeno y D. Antonio Barreyro, y á supernumerario á D. Francisco Arteaga-.y en la C</t>
  </si>
  <si>
    <t>Lasale Dincamps, Henrique</t>
  </si>
  <si>
    <t>Henrique Lasale Dincamps</t>
  </si>
  <si>
    <t>empleo que este dexa al Teniente de fusileros D. Luis Garreton, y para sus resultas al Subteniente D. Henrique Lasale Dincamps. Por el Ministerio de Hacienda se ha comunicado con fecha de 17 de Marzo la Real orden siguiente. El Rey se ha servido mandar que en el recibo y entrega de todos los efectos de Re</t>
  </si>
  <si>
    <t>LasarofF, General</t>
  </si>
  <si>
    <t>General LasarofF</t>
  </si>
  <si>
    <t>r ai coche la Princesa Georgiana María para ir, según decia, á Petersburgo, mató de una puñalada al General LasarofF, comandante de las tropas rusas en Grusinia. En ese mismo instante tiró la hija de la Princesa á dar otra puñalada á un Oficial ruso que acompañaba ai General; pero él reparó el g</t>
  </si>
  <si>
    <t>Laserna, Blas</t>
  </si>
  <si>
    <t>Blas Laserna</t>
  </si>
  <si>
    <t>la de Echterling, en Valencia en la de Mallen, y en Zaragoza en la de Yagüe Monge. Su precio 14 rs. D. Blas Laserna deseoso de complacer á los amantes de los encantos de la música, ha procurado adquirir y traer toda la suelta que se ha dado á luz de algún tiempo á esta parte, y con este fin la irá</t>
  </si>
  <si>
    <t>Laso de la Vega, Antonio</t>
  </si>
  <si>
    <t>Antonio Laso de la Vega</t>
  </si>
  <si>
    <t>amón Ramal; el empleo de Alférez al Portaestandarte D. Leandro Quirós, y Portaestandartes al Cadete D. Antonio Laso de la Vega, al de igual clase D. Juan Bertendona y al Sargento primero distinguido D. Juan Vázquez: en el de Santiago Sargentía mayor al Capitán, graduado de Teniente Coronel; D. Nicolás Pas</t>
  </si>
  <si>
    <t>Latouche, Almirante</t>
  </si>
  <si>
    <t>Almirante Latouche</t>
  </si>
  <si>
    <t>se espera la publicación de los decretos relativos á su organización. París de Noviembre. E 1 V ice-Almirante Latouche ha llegado á esta capital, y tenido una audiencia del primer Cónsul. Avisan de Boloña que el mal tiempo que reyna hace muchos dias no ha permitido lleguen las divisiones del O. y</t>
  </si>
  <si>
    <t>Latouche-Treville, Almirante</t>
  </si>
  <si>
    <t>Almirante Latouche-Treville</t>
  </si>
  <si>
    <t>s señales á los Comandantes de las divisiones. Marsella 18 de Octubre. A yer llegó á este puerto el Almirante Latouche-Treville, acompañado de 13 personas, á bordo del navio mercante francés el Bluck, que viene como parlamentario de la isla de Santo Domingo. Se están reparando las murallas del fuerte de S.</t>
  </si>
  <si>
    <t>Launay</t>
  </si>
  <si>
    <t>e que filé de la facultad de medicina de la universidad de París &amp;c.: traduducído al francés por el Dr. Launay, y libremente al castellano por el Dr. D. Joaquín Serrano Manzano, Secretario perpetuo del Real colegio de medicina de Madrid &amp;c. Este poema j que se puede tener por un código de</t>
  </si>
  <si>
    <t>Laureano González</t>
  </si>
  <si>
    <t>Diego Sánchez, Ayudante del mismo cuerpo; y pronto-’ ver á Teniente en el de húsares de Lusitania á D. Laureano González, Alférez del mismo cuerpo; y á Teniente en el de cazadores de Villaviciosa á D. Epifanio Conuway, Alférez del propio regimiento. En América. El Rey se ha dignado conceder ef emple</t>
  </si>
  <si>
    <t>Laureano Miraveté</t>
  </si>
  <si>
    <t>ros D. Francisco Bourman: en el de Málaga Compañía al Teniente de granaderos, con grado de Capitán, D. Laureano Miraveté: en el de las Ordenes Militares el empleo de fCoronel al Teniente Coronal dé Voluntarios de la Corona, graduado de Córóhéf,’0. Francisco Soler ; y en el primer batallón de Volunta</t>
  </si>
  <si>
    <t>Laureano Vega</t>
  </si>
  <si>
    <t>u , los Cadetes D. Buenaventura Ayesa y D. Manuel del Coro , y los Sargentos primeros de granaderos D. Laureano Vega y D. Lorenzo Bona, y á Subtenientes de bandera á los Cadetes D. Julián Padilla, D. Manuel Villaiba y D. León Torralbo , y al Sargento primero D.Francisco García. El Rey se ha servido</t>
  </si>
  <si>
    <t>Laurence</t>
  </si>
  <si>
    <t>á algunos motivos siniestros, si no estuviese convencido de las buenas intenciones de Mr. Smith. El Dr. Laurence en una arenga sumamente larga vindicó la conducta de Mr. Windham: hizo ver que si este se había opuesto al tratado de Amiens., habia sido porque por él quedaban injuriados los inter</t>
  </si>
  <si>
    <t>Laurent Parsons</t>
  </si>
  <si>
    <t>advertía en qué discordaban; y la diferencia al cabo no era nada en comparación de la unanimidad.” Sir Laurent Parsons expuso sus razones para apoyar el discurso de gracias, y fué casi el único miembro irlandés que hablase en esta ocasión. El Procurador general hizo un discurso muy enérgico y eloqüe</t>
  </si>
  <si>
    <t>Laurent, Carlos</t>
  </si>
  <si>
    <t>Carlos Laurent</t>
  </si>
  <si>
    <t>s Cadetes D. Antonio María de la Torre y D. Francisco Lleonart, y al Sa gento primero de granaderos D. Carlos Laurent. S._M. ha concedido á la villa de Fregenal, reyno de Sevilla y en la raya de Extremadura, la facultad de trasladar la antigua feria que celebraba el dia 18 de Octubre de cada un a</t>
  </si>
  <si>
    <t>Lauther</t>
  </si>
  <si>
    <t>.gado. El General Serras ha ido á Lausana, donde sentará su quartel general. El ciud. Lauther ha sido comisionado para tomar posesión del Frikthal, como de un cantón separado de la República helvética. Esta ocupación será provisional , hasta que se conv</t>
  </si>
  <si>
    <t>Laville</t>
  </si>
  <si>
    <t>ntregar pasaportes, limitándose á darlos de una ciudad á otra tan solamente. El ciud. Laville , Comisario de relaciones comerciales de la República francesa en Elseneur; ha hecho publicar, que en conformidad al decreto de su gobierno, que prohíbe la int</t>
  </si>
  <si>
    <t>Lavillete, Antonio</t>
  </si>
  <si>
    <t>Antonio Lavillete</t>
  </si>
  <si>
    <t>fondos- de la sociedad los de su pertenencia D. Joseph y D. Juan Flores, D. Joaquín María Escriba,, D. Antonio Lavillete, Doña Joaquina Escribá y Doña Josepha Sumbiela.*, ambas señoritas recibieron premios distinguidos de honor. Concluida»</t>
  </si>
  <si>
    <t>Laviña, Luis</t>
  </si>
  <si>
    <t>Luis Laviña</t>
  </si>
  <si>
    <t>Rocha y D. Juan Pi-¡ rez, Capitanes primeros; a esta clase á D. Manuel de Hita, D. Luis Ve-, yan y D. Luis Laviña, Capitanes segundos; y á esta á los Tenientes Don Luis Valanzat y D. Juan Palomino. En América. Iil Rey se ha servido nombrar para una Ración de laí catedral de la Puebla de los A</t>
  </si>
  <si>
    <t>Lavüle</t>
  </si>
  <si>
    <t>po deTurin y el Obispo de Amiens; los cuerpos administrativos, y á su cabeza el ciudadano Lavüle, Prefecto; los cuerpos militares, y á su frente los Generiles Dupont, Chaumont y Compan, los tribunales &amp;c., y Madama la P inc esa los recibió con la bondad qu</t>
  </si>
  <si>
    <t>Laxara, Joseph</t>
  </si>
  <si>
    <t>Joseph Laxara</t>
  </si>
  <si>
    <t>eniente de granaderos D. Felipe Otermin: en el de Guadalaxara Tenencia al Subteniente de granaderos D. Joseph Laxara: en el de Valencia Tenencias á los Subtenientes de granaderos D. Isidro Alonso, D. Vicente Naudin y D. Juan Bautista Jayme: én el de León Subtenencia de bandera al Sargento primer</t>
  </si>
  <si>
    <t>Lázaro</t>
  </si>
  <si>
    <t>o nombrar .para la Dignidad de Arcediano de la catedral de Cartagena, vacante por tallecí miento Je Don Lázaro, Joseph Blanco, á D. Benito Joseph Lambí, Dignidad de Chantre de la-misma catedral jipara esta Chautría á DvJotjeph de Puyana, Maes</t>
  </si>
  <si>
    <t>Lázaro de Dou, Ramón</t>
  </si>
  <si>
    <t>Ramón Lázaro de Dou</t>
  </si>
  <si>
    <t>uedan colocarle en ella. Instituciones del Derecho público general de'España : tomo y.° -. su autor Don Ramón Lázaro de Dou. Se vende en la librería de Dávila,calle de las Carretas,y en Barcelona en la de Ribas, plazuela de Santiago : se entregará á los subscripto* res, y se admitirá la subscripción al</t>
  </si>
  <si>
    <t>de S. Gerónimo , á 30 rs. Instituciones del Derecho público general de España, tomo 8.° : sii autor Don Ramón Lázaro de Dou. Se vende en la librería de Dávila, calle de las Carretas, y en Barcelona en la de Rivas: se entregará á los subscriptores, y solo se admitirá 1* subscripción al 9.0 y último por</t>
  </si>
  <si>
    <t>Lázaro de Dqu, Ramón</t>
  </si>
  <si>
    <t>Ramón Lázaro de Dqu</t>
  </si>
  <si>
    <t>del particular de Cataluña, y de las principales reglas de gobierno en quaiquier ..estado.su .autor D. Ramón Lázaro de Dqu : tomo 9.0 y último. Se entregará á los subscriptores en la librería de Dávila ; y en Barcelona en Ja de Ribas. En las mismas librerías se vende con los antecedentes: contiene dic</t>
  </si>
  <si>
    <t>Lázaro de Hortal, Francisco</t>
  </si>
  <si>
    <t>Francisco Lázaro de Hortal</t>
  </si>
  <si>
    <t>e la obligación de rezar el Oficio divino así eclesiásticos como religiosos y religiosas : su autor D. Francisco Lázaro de Hortal, presbítero: un tomo en 8.°, á 8 rs. en pasta y 6 en pergamino, rrrCatecismo ó compendio de la doctrina christiana, con la explicación del santo sacrificio de la misa, de sus</t>
  </si>
  <si>
    <t>Lázaro Fernández Ladreda</t>
  </si>
  <si>
    <t>a del Salvador de la villa de Sepúlveda , en la diócesis .de-Segovia , vacante por fallecimiento de D, Lázaro Fernandez Ladreda ,i l).Manuel Campo-Redondo. ... . • ■ ■ -. En América. El Rey se ha servido nombrar para la Canongía Lectoral de la metropolitana de México, vacante por ascenso; de D. Juan An^ to</t>
  </si>
  <si>
    <t>Lázaro Ñmlez</t>
  </si>
  <si>
    <t>de Ibarguen : en Cádiz , los Sres. Terris, hermanos y compañía: en Ceuta, D. Miguel Martin y Sola. Don Lázaro Ñmlez, natural del pueblo de Anguinses , en las islas Canarias,, por el testamento que otorgó en la ciudad de Panamá, en la América meridional, por el año de 1787, declaró estar debiend</t>
  </si>
  <si>
    <t>Lázaro Pérez</t>
  </si>
  <si>
    <t>de Chile ha nombrado S. M. Capitán ai Ayudante D. Carlos Spano; Ayudante al Teniente de granaderos D. Lázaro Perez; para el empleo que este dexa al Teniente de fusileros D. Luis Garreton, y para sus resultas al Subteniente D. Henrique Lasale Dincamps. Por el Ministerio de Hacienda se ha comuni</t>
  </si>
  <si>
    <t>Lázaro Ruiz</t>
  </si>
  <si>
    <t>iento de infantería de la Corona se ha servido S* M. conceder Tenencia al Subteniente de granaderos D. Lázaro Ruiz; y también ha nombrado segundo Ayudante del batallón de infantería ligera de Voluntarios de Valencia ai Teniente D. Joseph María Lugo. En el Real cuerpo de Artillería se ha servid</t>
  </si>
  <si>
    <t>Lázáro Sevillano</t>
  </si>
  <si>
    <t>. Maximiliano Coronel: para la Tesorería al Canónigo D. Joaquih de Sotomayor: para esta Canongía á 'D. Lázáro Sevillano, Racionero mas antiguo de laj&gt;ropia iglesia : para una Media-Ración, vacante por fallecimiento de D. ’Pedtp Joseph de Aizpuru, á D. Joaquín de Lagraña y Sierra, Cura Rector ¡de la</t>
  </si>
  <si>
    <t>Lázaro Sevillano</t>
  </si>
  <si>
    <t>orería al Doctoral D. Calixto Miranda: para una Ración de la misma catedral, vacante por ascenso de D. Lázaro Sevillano á Canónigo de ella, i D- Mariano Henri^uez de Guzman, primer Medio-Racionero: para esta resulta á D. Mariano Batallas, Cura de la matriz de S. Luis -de Otavalo, en la misma dióces</t>
  </si>
  <si>
    <t>Le Gouvé</t>
  </si>
  <si>
    <t>le de las Carretas. La muerte de Abel: tragedia en tres actos y en verso por el ciud. Le Gouvé; traducida del francés al castellano por D. Antonio Saviñon, y representada en el teatro de los caños del Peral. Esta traducción es enteramente distinta de la</t>
  </si>
  <si>
    <t>Leandro Palacios, Joseph</t>
  </si>
  <si>
    <t>Joseph Leandro Palacios</t>
  </si>
  <si>
    <t>.de granaderos al de fusileros D. Juan Vicente Bolívar: á Tenientes de fusileros á los Subtenientes D. Joseph Leandro Palacios, D. Joseph Antonio Cazcrla , D. Domingo Gaiindo, D. Rafael Monasterios, D. Simón de Bolívar, D. Miguel Uztariz y D. Agustín Carvallo: á Subteniente de granaderos al de fusileros D</t>
  </si>
  <si>
    <t>Leandro Quirós</t>
  </si>
  <si>
    <t>rava Ayudantía al primer Teniente reformado D. Ramón Ramal; el empleo de Alférez al Portaestandarte D. Leandro Quirós, y Portaestandartes al Cadete D. Antonio Laso de la Vega, al de igual clase D. Juan Bertendona y al Sargento primero distinguido D. Juan Vázquez: en el de Santiago Sargentía mayor</t>
  </si>
  <si>
    <t>Leandro Vicente Álvarez Navarro</t>
  </si>
  <si>
    <t>para una Media-Rae.on de la catedral de Cuenca, vacante por muerte de D. Felipe Oitiz de SaL^.i, á D. Leandro Vicente Alvarez Navarro; y para el Beneficio simple servidero de la parroquial de la villa de Tendilla, en el arzobispado de To</t>
  </si>
  <si>
    <t>Leblond, Carlos</t>
  </si>
  <si>
    <t>Carlos Leblond</t>
  </si>
  <si>
    <t>. M. se ha servido nombrar Teniente del regimiento de infantería de Puebla, fixo de Nueva-España, á D. Carlos Leblond, Guardia de Corps de la Real compañía Flamenca. ' Con fecha de 8 de Febrero se ha comunicado por el Ministerio de Hacienda la Real orden siguiente: Siendo justo atender á los empl</t>
  </si>
  <si>
    <t>Lechuga, Antonio</t>
  </si>
  <si>
    <t>Antonio Lechuga</t>
  </si>
  <si>
    <t>ncisco de Corts, D. Cárlos Fitzgerald, D. Juan Brikdale, D. Juan O-Donovan, D. Juan Ponce de León , D. Antonio Lechuga y D. Joseph O-Donell: las de los de 1a Reyna, Corona, Guadalaxara, España, León, Cantabria, Princesa, Extremadura, Málaga y Granaderos Voluntarios de Estado, á los Tenientes Coroneles</t>
  </si>
  <si>
    <t>Lechuga, Diego</t>
  </si>
  <si>
    <t>Diego Lechuga</t>
  </si>
  <si>
    <t>aestandarte D. Manuel Gómez de Barreda; y en el de -cazadores de Villaviciosa á Teniente al Alférez D. Diego Lechuga. Desde i.° del próximo Diciembre se recibirán en¡ la Tesorería mayo* y en las de exército las acciones dei Real empréstito de 240 millones de -reales ; las dos mil de ellas señala</t>
  </si>
  <si>
    <t>Lechuga, Pedro</t>
  </si>
  <si>
    <t>Pedro Lechuga</t>
  </si>
  <si>
    <t>el de Sagunto, sexto de Cazadores, á Ayudante al Teniente D. Ramón Ortigosa; yá Teniente al Alférez D. Pedro Lechuga; y en el de Lugtania, segundo de Húsares, á Coronel á D. Ramón de Aviles , Teniente Coronel del de Cazadores de Sagunto. En América. S. M. se ha dignado conferir el Gobierno milit</t>
  </si>
  <si>
    <t>Lecierc, General</t>
  </si>
  <si>
    <t>General Lecierc</t>
  </si>
  <si>
    <t>por un Oficial, saldrá hasta una posta de ..León en el camino por donde debe llegar la comitiva del General Lecierc, y vendrá escoltando el .cuerpo hasta la puerta de la Guillotiere. ~2.°’EI Prefecto y todas las autoridades civiles y,judiciales saldrán en coche hasta dicha puerta para recibir l</t>
  </si>
  <si>
    <t>Leclerc, General</t>
  </si>
  <si>
    <t>General Leclerc</t>
  </si>
  <si>
    <t>s han hecho horribles estragos, y dicen los viejos que nunca habían visto un año tan malélico.__ El General Leclerc, poco ántes de morir me entregó las instrucciones cerradas del gobierno, para el General Rochambeau, en cuya busca ha salido un navio. El General Watrin ha partido para reemplazar</t>
  </si>
  <si>
    <t>tuvo el primer Cónsul audiencia extraordinaria para recibir el pésame por la muerte de su cuñado el General Leclerc, á que concurrió todo el Cuerpo diplomático, los Ministros, los miembros del Senado, del Consejo de Estado y de otros tribunales. Con este motivo ha tornado luto aquella corte por</t>
  </si>
  <si>
    <t>26 de Enero. P or todas partes se tributan honores muy particulares á los restos y á la memoria del General Leclerc. El Consejero de Estado, Prefecto marítimo de la 6.a división, y el General comandante de las armas de la plaza de Tolon, han publicado hoy el bando siguiente: Mañana, 27 de Enero</t>
  </si>
  <si>
    <t>mitiva volverá al puerto en el mismo orden, p Parts 8 de Febrero . v^on la noticia de la muerte del General Leclerc , y de la necesidad que el exército tenia de refuerzos , el Ministro de la Guerra pidió voluntarios á los cuerpos militares , y se presentáron cerca de 60® hombres. El primer Cóns</t>
  </si>
  <si>
    <t>el puente de la Guillotiere hasta lá iglesia de S. Juan, en que serán depositados lo-s despojos del General Leclerc, *e formarán dos líneas de tropa, en quanto lo permita el número de las que hay en León, por en medio de las quales pasará el acompañamiento. S.° Abrirá la marcha un destacamento</t>
  </si>
  <si>
    <t>ebrero. E 1 martes 15 de Febrero se depositó en La bolsa que estaba colgada de negro, el cuerpo del General Leclerc mientras se reunían los tribunales y ciudadanos que habían de acompañarle á la iglesia de S. Martin que también estaba enlutada. En el centro de la nave mayor se levantó sobre qua</t>
  </si>
  <si>
    <t>última de vuelta de Paris; ps hermano del Príncipe Camilo Borghese, quien se casa con la viuda del General Leclerc, hermana del primer Con</t>
  </si>
  <si>
    <t>Legaspe, Manuel</t>
  </si>
  <si>
    <t>Manuel Legaspe</t>
  </si>
  <si>
    <t>y Baño para Francia é Italia; D. Lorenzo Llorca para Barcelona; D. Vicente Aicaraz para Francia, y D. Manuel Legaspe para América, todos ellos de agregados al pilotage, por salir examinados, según está prevenido en la Real instrucción; y ademas de esta plaza exercen muchos la de Escribano del bu</t>
  </si>
  <si>
    <t>Leisseig', Almirante</t>
  </si>
  <si>
    <t>Almirante Leisseig'</t>
  </si>
  <si>
    <t>el primer Cónsul 10 hermosos caballos, vari r leones ¿kc. El jBey ha recibido por medio del Contra-Almirante Leisseig' es algunos fusiles y pistolas ricamente trabajados en la fábrica de armas de Vers'alles, con otros regalos de mucho valor. El Instituto nacional en su junta del‘28 de Diciembre ha r</t>
  </si>
  <si>
    <t>Leisseignes, Almirante</t>
  </si>
  <si>
    <t>Almirante Leisseignes</t>
  </si>
  <si>
    <t>91 Isla de Cerdeña los esclavos sardos, cuya libertad obtuvo del I&gt;ey de Argel el Contra-Almirante Leisseignes^ ha recibido la respuesta siguiente del caballero de Quexada, Secretario de Estado y de Guerra de la isla de Cerdeña: ,, Algunas noticias vagas nos habian instruido de los oficios</t>
  </si>
  <si>
    <t>bláron otros vocales en pro y contra, y no se admitió la proposición. Tolon 18 de Abril, E 1 Contra-Almirante Leisseignes ha llegado aquí con la división que llevó á Constantinopla al Embaxador francés el General Bruñe. Ha dado vuelta por S. Juan de Acre, donde fue muy bien acogido por DjezzarBaxá. S</t>
  </si>
  <si>
    <t>Lenois, Almirante</t>
  </si>
  <si>
    <t>Almirante Lenois</t>
  </si>
  <si>
    <t>que el Almirante Lenois ha marchado de allí cotí su esquadra á PondL cheri. Se cree que estará algún tiempo en las islas de Fiancia y de la Reunión. Miéntras estuvo en el Cabo se le reunió otra esquadra</t>
  </si>
  <si>
    <t>León Florentin del Rio</t>
  </si>
  <si>
    <t>estar examinados,y dirigirán los memoriales francos de porte, antes del dia 10 del próximo Junio, á D. León Florentin del Rio, Cura párroco, ó á D. Pedro Joseph de Ibarrola, Alcalde por el estado noble en ella; en la inteligencia de que el nombramiento se ha de hacer el último dia del referido mes de Jun</t>
  </si>
  <si>
    <t>León Huerta, Manuel</t>
  </si>
  <si>
    <t>Manuel León Huerta</t>
  </si>
  <si>
    <t>Alcalde; mayor de la ciudad* de Salamanca á D. Domingo Miguel Diez ; y para la de Ciudad-Rodrigo á D. Manuel León Huerta. r;jjpQt Ja viade Londres-ha ^ recibido-el ^ Príncipe de la Paz, Generalísimo" de las armas de mar y tierra , un oficio del Teniente General Dv Ignacio Marra de: Alav ay: Comandan</t>
  </si>
  <si>
    <t>León Negro</t>
  </si>
  <si>
    <t>quella junta. A conseqiiencia fueron examinados los alumnos por este orden: en gramática castellana D. León Negro y D. Joseph de Guadix; en gramática latina, según la de D. Juan deTriarte, D. Cecilio Vicente Algarra y D. Joseph Alcaraz; en geografía D. Francisco de Paula Rodríguez y D. Manuel Gar</t>
  </si>
  <si>
    <t>León Teixey, Juan</t>
  </si>
  <si>
    <t>Juan León Teixey</t>
  </si>
  <si>
    <t>el Arcediasato 'de^Monteñegro, D ignidad de la catedral de Mondoñedo, vacante por fallecimiento, de D. Juan León Teixey ro, á D. Joseph León Teixeyro: £ara uña Cano*</t>
  </si>
  <si>
    <t>León Teixeyro, Joseph</t>
  </si>
  <si>
    <t>Joseph León Teixeyro</t>
  </si>
  <si>
    <t>gro, D ignidad de la catedral de Mondoñedo, vacante por fallecimiento, de D. Juan León Teixey ro, á D. Joseph León Teixeyro: £ara uña Cano*</t>
  </si>
  <si>
    <t>León, Joseph</t>
  </si>
  <si>
    <t>Joseph León</t>
  </si>
  <si>
    <t>ha servido conceder en el regimiento de infantería de Africa Tenencia al Subteniente de granaderos D. Joseph León -Segrí; y en-el de América Capellanía al presbítero D. Francisco de la Linde y Campos. S M se ha servido conceder, el empleo de Portaestandarte en el regimiento de caballería de B</t>
  </si>
  <si>
    <t>Leonardo</t>
  </si>
  <si>
    <t>No habiendo tenido efecto el nombramiento que hizo S. M. por decreto de i.° de Mayo de este año, en D. Leonardo deUrruchi, para una Ración de la colegial de Valpuesta, en el arzobispado de Burgos, por haberse suprimido; es sü voluntad que se verifique en otra de la misma iglesia, vacante por r</t>
  </si>
  <si>
    <t>Leonardo Antonio de Mena</t>
  </si>
  <si>
    <t>entes D. Antonio Losada y Quiroga , D. Diego Serrano y D. Joseph Henriquez, y al Teniente reformado D. Leonardo Antonio de Mena: las Subtenencias de granaderos de los de Córdoba, Truxillo y Cuenca , á los Subtenientes de fusileros í&gt;. I rancisco Valdelomar, D. Joseph Martínez Henao y D. Pedro Alaiñanzon; y</t>
  </si>
  <si>
    <t>Leonardo de la Varga, Martín</t>
  </si>
  <si>
    <t>Martín Leonardo de la Varga</t>
  </si>
  <si>
    <t>e Santiago: para un Beneficio simple de Utrera, en la diócesis de Sevilla, vacante por promoción de D. Martin Leonardo de la Varga á Canónigo de la metropolitana de Burgos, á D. Juan Fernandez Mateos, Cura de S. Pedro de Carmona con la precisa personal residencia que tiene anexa ; y para otro servidero de Rag</t>
  </si>
  <si>
    <t>Leonardo de Urruchi</t>
  </si>
  <si>
    <t>rgos, vacante por promoción de D. Vicente de X)teo y Paredes á una Canongía de la misma colegial, á D. Leonardo de Urruchi: para otra Ración de la referida colegial, vacante por haber sido promovido también á otra Canongía de la misma colegial D. Santiago fontecha, á D. Juan Diez Nograro: para un Bene</t>
  </si>
  <si>
    <t>Leonardo Galli</t>
  </si>
  <si>
    <t>uadras en los hospitales militares de la República francesa, dispuesto por la junta de sanidad: por D. Leonardo Galli, Doctor en medicina , cirugía y química , Cirujano de Cámara de S. M. C. Scc. Se vende en la librería de Escribano, calle de las Carretas, á 2 rs. ,.y puede ir en carta. # . ' Art</t>
  </si>
  <si>
    <t>Leonardo Garrido</t>
  </si>
  <si>
    <t>ente resultan vacantes, i D. Pra°' cisco Galo Carrasco, D. Miguel de Axpe, D. Joseph de Echeverría* D. Leonardo Garrido; y*para la sexta y ultima plaza al supernumerario D. Joseph Marcinez. En el regimiento de infantería de Mallorca se ha servido promover S. M. á Capitán al Ayudante, graduado de Ca</t>
  </si>
  <si>
    <t>Leoncio López</t>
  </si>
  <si>
    <t>comisionados la correspondiente propuesta, se conformó la junta con;ella , y en su Virtud nombró á D. Leoncio López para desempeñar la plaza de segundo Ayudante de Anatomía, que resultaba vacante en los referidos hospitales, en atención á su sobresaliente mérito y brillantes, ejercicios: para l</t>
  </si>
  <si>
    <t>Leoncio Tenaquero</t>
  </si>
  <si>
    <t>de Murcia en el arzobispado di Burgos, vacante; por mu¿rteTde D. Joseph M^ría Fernandez Saavedra, á D. Leoncio Tenaquero: para el Benefició rural.■ de Villaverde de Carrascosa del Campo, en la diócesis de Cuenca, Vacante por la promoción de D. Joseph Ventura Duro y Solano á una Canongía de la, cated</t>
  </si>
  <si>
    <t>Leopoldo Berthier, General</t>
  </si>
  <si>
    <t>General Leopoldo Berthier</t>
  </si>
  <si>
    <t>bierno á las tropas Francesas que están en la República, se ha enviado en estos dias á Nimega.__ El General Leopoldo Berthier, hermano del Ministro ¡de Guerra , ha llegado á Nimega, en donde se ha reunido un cuerpo de tropas* de cuyo estado mayor es xefe. También han llegado ya los Generales Montrichard,</t>
  </si>
  <si>
    <t>ontamente su gran parque de artillería; que nada le falta, y abunda de provisiones de guerra---- El General Leopoldo Berthier da cuenta de las marchas forzadas del exército , siendo la menor de io leguas, y ei pais absolutamente desprovisto y pantanoso: de modo que el soldado ha sufrido las mayores fatigas,</t>
  </si>
  <si>
    <t>Lepaultre</t>
  </si>
  <si>
    <t>GAZETA DE MADRID DEL VIERNES 17 DE JÜNIO DE 1803. Constantinopla rg de Abril* E ciud. Lepaultre , oficial francés , ha llegado de Petersburgo con despachos del General Hedouville para ?! General Bruñe, Embaxador de la República francesa. Con este motivo s</t>
  </si>
  <si>
    <t>Lessoyne, Francisco</t>
  </si>
  <si>
    <t>Francisco Lessoyne</t>
  </si>
  <si>
    <t>D. Pedro Wintuysen; y en el de la Princesa Compañía al Teniente de granaderos,graduado de Capitán, D. Francisco Lessoyne. En el Real cuerpo de Artillería se na servido el Rey nombrar Coronel del tercer regimiento al Brigadier D. Vicente María Maturana, Coronel supernumerario del propio cuerpo: habie</t>
  </si>
  <si>
    <t>Lexalde y Almazan, Pedro</t>
  </si>
  <si>
    <t>Pedro Lexalde y Almazan</t>
  </si>
  <si>
    <t>ereses; con arreglo á Reales cédulas. Las personas que, tuvieren algún crédito contra los bienes de D. Pedro Lexalde y Almazan , administrador que fué de rentas Reales 'en PJasenciá, ó lugares de la^ provincia de Extremadura-á mitad del sigjo pasado, acudan en el término de 8 meses, contados desde este dí</t>
  </si>
  <si>
    <t>Liados, Jacinto</t>
  </si>
  <si>
    <t>Jacinto Liados</t>
  </si>
  <si>
    <t>á Capitán primero al Capitán segundo D. Plácido Gómez: en el de Tarragona á Teniente al Subteniente D. Jacinto Liados: en el segundo batallón de voluntarios de Aragón á Teniente al Subteniene D. Joseph Marques y Mexino; y en el regimiento suizo de Betschart á Teniente al Subteniente de granaderos</t>
  </si>
  <si>
    <t>Lieveii Bauwens</t>
  </si>
  <si>
    <t>Ligero, Joseph</t>
  </si>
  <si>
    <t>Joseph Ligero</t>
  </si>
  <si>
    <t>Andrés Martinez de Aparicio. En Toledo............ Sres. Chavarri y Posadillo. En Toro............ D. Joseph Ligero. En Valencia....... D. Francisco Peyrolon y compañía* En Valladolid...... D. Francisco Durango é hijo mayor. En Zamora.......... D. Vicente Perez de Tejada. En Zaragoza....... D.</t>
  </si>
  <si>
    <t>és Martínez de Aparicio. En Toledo.............Sres. Chavarri y Posadillo, En Toro................. D. Joseph Ligero. En Valencia....... ;. D. Francisco Peyrolon y compañía. EnValladolid...... D. Francisco Durango é hijo mayor. En Zamora........... D. Vicente Perez de Tejada. En Zaragoza........</t>
  </si>
  <si>
    <t>artínez de Aparicio. En Toledo............... Sres. Chavarri y Posadillo. En Toro...................D. Joseph Ligero. En Valencia......... D. Francisco Peyrolon y compañía. EnValladolid. D. Francisco Durango é hijo mayor. En Zanjora......... D. Vicente Perez de Tejada. En Zaragoza......... D. To</t>
  </si>
  <si>
    <t>Liñan, Esteban</t>
  </si>
  <si>
    <t>Esteban Liñan</t>
  </si>
  <si>
    <t>o Lorenzo; á Ayudante al Teniente D. Melchor de Reyna; á Tenientes de granaderos á los de fusileros D. Esteban Liñan, D. Antonio Grijoa y D. Gabriel Gascón; á Tenientes á lo» Subtenientes de granaderos D. Fernando Martínez y D. Pascual Agustín Martínez, y á los de fusileros D. Joseph María Mende</t>
  </si>
  <si>
    <t>Linares, Pedro</t>
  </si>
  <si>
    <t>Pedro Linares</t>
  </si>
  <si>
    <t>ndancia del tercer batallón al Sargento mayor del Inmemorial del Rey, graduado de Teniente Coronel, D. Pedro Linares; y Subtenencia de bandera al Sargento primero D. Vicente Moreno : en el de Granaderos Voluntarios de Estado Tenencia al Subteniente D. Joseph María Yoanis; y en el de Borbon Tenen</t>
  </si>
  <si>
    <t>Linois, Almirante</t>
  </si>
  <si>
    <t>Almirante Linois</t>
  </si>
  <si>
    <t>do Comandante militar de este puerto, p&lt; r muerte del Contra-Almirante Terrasson.__ La división del Almirante Linois salió del Cabo el 11 de Mayo. Boloña 2$ de Octubre. H a llegado á esta rada una nueva división de la flotilla. Un buque ingles la ha venido siguiendo mucho trecho, pero no se ha d</t>
  </si>
  <si>
    <t>Liorca y Agulló, Manuel</t>
  </si>
  <si>
    <t>Manuel Liorca y Agulló</t>
  </si>
  <si>
    <t>la villa de Arévaio á D. Justo Martínez de Baños; y para el de Medina del Campo , que este dexa, á D. Manuel Liorca y Agulló. Habiendo. vistaS. M. los rápidos progresos que han hecho los discí</t>
  </si>
  <si>
    <t>Lisach, Joseph</t>
  </si>
  <si>
    <t>Joseph Lisach</t>
  </si>
  <si>
    <t>Cadete D. Pablo García de la . Peña ; y en el segundo batallón de Voluntarios de Cataluña al Cadete D. Joseph Lisach ; habiendo también nombrado S. M. en el regimiento de Africa Capellán al presbítero D. Joseph Ramírez de la Pecina. En América* En el regimiento de infantería de la Corona deNueva</t>
  </si>
  <si>
    <t>Lista y Aragón, Alberto</t>
  </si>
  <si>
    <t>Alberto Lista y Aragón</t>
  </si>
  <si>
    <t>eneficencia, y que es la base de la moral universal, fué el argumento de una oda leída por el socio D. Alberto Lista y Aragón. A continuación fueron los exámenes de las clases de matemáticas establecidas por la Sociedad, en los quales D. Vicente</t>
  </si>
  <si>
    <t>Listón</t>
  </si>
  <si>
    <t>francesas, se halla en esta ciudad, de donde irá á jHelvoet-Sluys y á Briela á pasar las revistas. Mr. Listón ántes de pedir sus pasaportes había hecho á nuestro gobierno de parte del suyo la propuesta de que la Inglaterra reconocerla la neutralidad de la Holanda, y le devolvería los buqu</t>
  </si>
  <si>
    <t>poder satisfacerle. Luego puso varios pálpeles-sobre la mesa que comprehenden la correspondencia de Mr. Listón en la Haya con los Ministros de S. M. El Canciller del Echiquier presenta un mensage de S. M. r en* el que usando de las facultades concedidas por varios actos del Parlamento para a</t>
  </si>
  <si>
    <t>ente, después de varios debates se votáron algunos subsidios. Haya 10 de Junio. E 1 Ministro ingles Mr. Listón y su familia , salieron de aquí ayer, á medio dia en un yacht para Rotterdam y Helvoét-Sluys, en donde se embarcará para Inglaterra en un paquebot parlamentario. Antes de marchar es</t>
  </si>
  <si>
    <t>a reemplazar las tropas que han salido á reforzar nuestro cordon en las fronteras de Lauenbourg-----Mr. Listón, Ministro de S. M. Británica cerca de nuestra corte , ha entrado en esta rada el miércoles ultimo, á bordo de una fragata inglesa: otra llamada Amatista, de 36 cañones, ha llegado</t>
  </si>
  <si>
    <t>Lívingston</t>
  </si>
  <si>
    <t>u vista muchos buques de todos portes. París j 1 de Diciembre. E 11 la ultima audiencia diplomática Mr. Lívingston, Ministro plenipotenciario de los Estados-Unidos de América, presentó al primer Cónsul á Mr. Binoham, antiguo Senador del Congreso de dichos Estados. La presentación de Damas extr</t>
  </si>
  <si>
    <t>Lladosa Fernández, Luis</t>
  </si>
  <si>
    <t>Luis Lladosa Fernández</t>
  </si>
  <si>
    <t>la misma, á D. Cárlos Marín: para la de la de S. Hipólito de Córdoba, vacante por fallecimiento de D. Luis Lladosa Fernandez, á D. Joaquín Pastor: para la de la d-e Zamora, vacante por promoción de D. Joaquín Queypo de Llano al Arcedianato de Cea de la catedral de León, á D. Manuel González Herrero: par</t>
  </si>
  <si>
    <t>Llaguno, Joseph</t>
  </si>
  <si>
    <t>Joseph Llaguno</t>
  </si>
  <si>
    <t>D. Manuel Adan y D. Hilario Figueroa, y á Subtenientes de bandera á los Cadetes D. Luis Calatayud, D. Joseph Llaguno y D. Manuel Bezanilla.</t>
  </si>
  <si>
    <t>Llaguno, Juan</t>
  </si>
  <si>
    <t>Juan Llaguno</t>
  </si>
  <si>
    <t>escribanía. Posterior á la junta celebrada en 6 de Marzo de 1801 por los acreedores á la quiebra de D. Juan Llaguno, de que conoce el Sr. Alcalde D. Alfonso Duran y Barazabal, por la escribanía de provincia de D. Pedro de Valladares , se hizo tns-, tanda por algunos á efecto de que se celebrase</t>
  </si>
  <si>
    <t>Llawkesbury, Lord</t>
  </si>
  <si>
    <t>Lord Llawkesbury</t>
  </si>
  <si>
    <t>discurso de 30 años. Ayer en la Cámara de lós Comunes prestó juramento gran numero de miembros. El Lord Llawkesbury dixo : ,, Que el Canciller del Ecfcíquier , ausente por causa de Una ligera indisposición, le había encargado de declarar que el ldnés inmediato haría la propuesta de qué se proro</t>
  </si>
  <si>
    <t>Llopis, Juan Bautista</t>
  </si>
  <si>
    <t>Juan Bautista Llopis</t>
  </si>
  <si>
    <t>l Dr. Juan Brown, con una censura del sistema browniano , dirigidas á los amigos de la verdad , por D. Juan Bautista Llopis, primer Médico de la villa de Cullera, reyno de Valencia, socio de la Academia de Medicina práctica de Barcelona. Se hallará en la librería de Barco; en Valencia en la de Mallen y</t>
  </si>
  <si>
    <t>Llopis, Tomás</t>
  </si>
  <si>
    <t>Tomás Llopis</t>
  </si>
  <si>
    <t>Pascali; y para un Beneficio de la parroquial de Liria, diócesis de Valencia, vacante por muerte de D. Tomas Llopis, á D. Pedro Pablo Mazo. En atención á los méritos y servicios de D. Juan Navarro , Director general de alcabalas del Reyno de Nueva España, se ha dignado S. M. concederle los hono</t>
  </si>
  <si>
    <t>Llorca, Lorenzo</t>
  </si>
  <si>
    <t>Lorenzo Llorca</t>
  </si>
  <si>
    <t>la Havana, en donde fué examinado y hecho Pilotín; D. Joseph Castelar y Baño para Francia é Italia; D. Lorenzo Llorca para Barcelona; D. Vicente Aicaraz para Francia, y D. Manuel Legaspe para América, todos ellos de agregados al pilotage, por salir examinados, según está prevenido en la Real inst</t>
  </si>
  <si>
    <t>Llórente, Felipe Miguel</t>
  </si>
  <si>
    <t>Felipe Miguel Llórente</t>
  </si>
  <si>
    <t>D. Felipe Miguel Llórente, primer Cirujano interino del Real sitio de Aranjuez , y propietario de sus Reales bosques, desde primeros de Abril del año próximo pasado, hasta que M. se transfirió á Madrid, ac</t>
  </si>
  <si>
    <t>Loarte, Juan</t>
  </si>
  <si>
    <t>Juan Loarte</t>
  </si>
  <si>
    <t>rica Compañías á los Capitanes D. Agap ito Mata Linares, D. Alexandro' Mayóliy D. Migüét Exerique y D. Juan Loarte , Tenientes de granaderos y Ayudantes del mismo cuerpo; Ayudantía al Teniente de él, grádúáao aé Cap i tari , D. Pabló Sacristán, y Subtenencias de bandera á los Cadetes D. Márcos</t>
  </si>
  <si>
    <t>Lobera, Joseph Antonio</t>
  </si>
  <si>
    <t>Joseph Antonio Lobera</t>
  </si>
  <si>
    <t>cias disciplinadas de Blancos de Valles de Aragua á Capitanes á los Tenientes D. Fernando Tremaría, D. Joseph Antonio Lobera, D. Pablo Clemente y Palacios, D. Joseph Vicente González y D. Francisco Lozano: á Teniente.de granaderos al de fusileros D. Juan Vicente Bolívar: á Tenientes de fusileros á los S</t>
  </si>
  <si>
    <t>Loewe, Capitán</t>
  </si>
  <si>
    <t>Capitán Loewe</t>
  </si>
  <si>
    <t>s condenando dos buques dinamarqueses, á saber: el Amor, Capitán Soerensen, y la Esperanza reunida, Capitán Loewe, baxo pretexto de haber intentado violar el bloqueo del Elba. El último buque groelandés que apresáron , fue puesto en libertad, pagando los gastos de la captura. El buque dinamar</t>
  </si>
  <si>
    <t>Lope</t>
  </si>
  <si>
    <t>. M. Se ha dignado nombrar para la Tesorería general del Consej* de Ordenes, vacante por ascenso de D. Lope de' Peñaranda, á D. Francisco Xavier Romano.</t>
  </si>
  <si>
    <t>Lope de Peñaranda</t>
  </si>
  <si>
    <t>r para la plaza vacante en el Consejo de las Ordenes por fallecimiento de D. Francisco Monsagrati á D. Lope de Peñaranda. También ha nombrado S. M. para una plaza de Alcalde de su Real casa y corte, vacante por promoción de D. Pedro Nicolás del Valle á. otra del Consejo de Hacienda , á D. Joaquín Pl</t>
  </si>
  <si>
    <t>Lope y la Trigonometría de Cagnoli, Tadeo</t>
  </si>
  <si>
    <t>Tadeo Lope y la Trigonometría de Cagnoli</t>
  </si>
  <si>
    <t>ometría, el primero con el Curso de Bezout, y cada uno de los dos últimos con el de Matemáticas por D. Tadeo Lope y la Trigonometría de Cagnoli. Don Estanislao Gautier y D. Gerónimo Martelo, por la de aritmética, con un estuche matemático á cada uno. Todas estas circunstancias, y la confianza publica que á cada paso se va</t>
  </si>
  <si>
    <t>López Corona, Ignacio</t>
  </si>
  <si>
    <t>Ignacio López Corona</t>
  </si>
  <si>
    <t>D. Ratael Pesino , Teniente Coronel del Real cuerpo de Artillería. El Rey se ha servido conceder á D. Ignacio López Corona, Oficial primero del ramo de Reales servidumbres en Tesorería general, los honores de Tesorero de exército, en consideración á sus méritos y dilatados servicios. * Asimismo se ha</t>
  </si>
  <si>
    <t>López de Pinedo, Felipe</t>
  </si>
  <si>
    <t>Felipe López de Pinedo</t>
  </si>
  <si>
    <t>. Joaquín Queypo de Llano: para una Canongía de la catedral de Cuenca, vacante por fallecimiento de D. Felipe López de Pinedo, á D. Joaquín de Urrutia y las Casas: para otra de la de Sigüenza, vacante por muerte de D. Antonio Muñoz, á D. Judas Joseph Romo; y para una Capellanía llamada de los Coronas de</t>
  </si>
  <si>
    <t>1 Rey se ha servido nombrar para la Canongía de la catedral de Cuenca, vacante por fallecimiento de D. Felipe López de Pinedo, y por haberse excusado á admitirla D. Joaquín de Urrutia y las Casas, á Don Pedro María Loy Amaya de Lanzarote: para la de la de Guadix, vacante por promoción de D. Andrés de Ama</t>
  </si>
  <si>
    <t>López de Sedaño, Juan</t>
  </si>
  <si>
    <t>Juan López de Sedaño</t>
  </si>
  <si>
    <t>En el testamento que otorgó Dona Juliana Vida Guadalupe á nombre de su marido D.Juan López de Sedaño, vecino de Madrid, se halla.un legado de 2200 rs8.á favor de D. Gregorio Lozano, también vecino de Madrid; y no sabiéndose su destino ni paradero, se cita y efnplaza al mismo ó sus herede</t>
  </si>
  <si>
    <t>López de Toledo, Antonio</t>
  </si>
  <si>
    <t>Antonio López de Toledo</t>
  </si>
  <si>
    <t>fusileros, graduado de Teniente Coronel, D. E'rancisco Campos; á Capitán al Teniente de granaderos D. Antonio López de Toledo; á Teniente de granaderos al de fusileros D. Juan Ximenez ; á Teniente á D. Valentín Moralejo, Subteniente.de granaderos; á esta resulta al de fusileros D. Antonio .Moreno; á la d</t>
  </si>
  <si>
    <t>López del Pan, Joseph Salvador</t>
  </si>
  <si>
    <t>Joseph Salvador López del Pan</t>
  </si>
  <si>
    <t>isco Diaz Bermudo¿ Oidor de iá )Audiencia de Canarias; á D. Joaquín Sistemes, de la de Mallorca ; á D. Joseph Salvador López del Pan, de la de Asturias , y á D. Joseph Joaquín de Iriberri, Alcalde del Crimen de la misma Audiencia de la Coruña. Para las plazas del Crimen de ella á D. Lucas Iliscio Fernandez, D.</t>
  </si>
  <si>
    <t>ela de Seixas ; y para la plaza que resulta vacante en la Audiencia de Asturias por la promoción de D. Joseph Salvador López del Pan á otra de Oidor de la Coruña, á D. Miguel Antonio de Zumal^carregui.” El Rey se ha servido conceder en el regimiento de infantería Inmemorial del Rey Tenencias al Subteniente de g</t>
  </si>
  <si>
    <t>a de Granada. Por justas causas que ha representado á S. M. el Ministro de la Audiencia de Asturias D. Joseph Salvador López del Pan para no pasar i servir la plaza de Oidor de la Audiencia de la Coruña, que se sirvió conferirle , ha venido en que se quede en Oviedo , y se ha dignado nombrar en su lugar para di</t>
  </si>
  <si>
    <t>López del Prado, Gaspar</t>
  </si>
  <si>
    <t>Gaspar López del Prado</t>
  </si>
  <si>
    <t>nuales, pagados de propios. Los pretendientes dirigirán sus memoriales a D. Joseph de la Muela, ó á D. Gaspar López del Prado, Capitulares de aquel Ayuntamiento; en inteligencia de que el dia i.° de Setiembre próximo se procederá á su provisión. En los lugares de Bielba, Rábago, Camixáne», Cádes, Casamar</t>
  </si>
  <si>
    <t>López Enguídanos, Joseph</t>
  </si>
  <si>
    <t>Joseph López Enguídanos</t>
  </si>
  <si>
    <t>igínale! que tiene en sus salas de estudio la Real academia de las tres nobles artes de Madrid, por D. Joseph López Enguídanos, Académico de mérito de la mismas contiene 6 figuras anatómicas, con los nombres propios de los huesos y músculos dei cuerpo humano, «n aquel grado que deben saberla los pintores</t>
  </si>
  <si>
    <t>López Fando, Juan Manuel</t>
  </si>
  <si>
    <t>Juan Manuel López Fando</t>
  </si>
  <si>
    <t>stos, prohijaciones y otras escrituras, explicando el papel sellado que corresponde á cada una: por D. Juan Manuel López Fando, Escribano del número de esta villa: 2 tomos en 8.°, á 16 rs. en pergamino y 20 en pasta cada juego. Se hallará en la librería de Escribano , calle de las Carretas. Suplemento ó a</t>
  </si>
  <si>
    <t>López Hermoso, Pedro</t>
  </si>
  <si>
    <t>Pedro López Hermoso</t>
  </si>
  <si>
    <t>ntin Martínez: en el de granaderos Voluntarios de Estado á Sargento mayor al Capiran del de América D. Pedro López Hermoso : en el segundo batallón de Voluntarios de Cataluña á Capiran segundo al Teniente D. Manuel Alvarez ; y eñ el primero de Barcelona á Teniente al Subteniente D. Juan Rovira. Asimis</t>
  </si>
  <si>
    <t>López Lorca, Gabriel</t>
  </si>
  <si>
    <t>Gabriel López Lorca</t>
  </si>
  <si>
    <t>el Roxas, á D. Gerónimo Bellit: para la Canongía de la catedral de Guadix, vacante por promoción de D. Gabriel López Lorca á la Dignidad de Tesorero de la propia catedral, á Don Miguel Salido Granados: para el oficio regular de Refitolero del Real monasterio de S. Cugat del Valles á D. Fr. Tomas de Be</t>
  </si>
  <si>
    <t>López Morelle, Francisco María</t>
  </si>
  <si>
    <t>Francisco María López Morelle</t>
  </si>
  <si>
    <t>Sto. Tomas; viuda de Gil, hijos y sobrino, calle Imperial; D. Elias Ranz, librero,calle de la Cruz; D. Francisco María López Morelle, plazuela de Antón Martin; D.% Fernando Vargas, cerería, plazuela de S. Ildefonso; Sres. Escuza, hermanos y compañía , carrera de S. Gerónimo; D. Andrés Alvarez, calle de S. Dámas</t>
  </si>
  <si>
    <t>López Paez, Joseph</t>
  </si>
  <si>
    <t>Joseph López Paez</t>
  </si>
  <si>
    <t>iento de infantería de Toledo el empleo de Ayudante al Teniente de granaderos, graduado de Capitán, D. Joseph López Paez: en el de Murcia Subtenencia de bandera al Cadete del,llxo de Ceuta D. Antonio Dieste: en el de Hibernia empleos de Ayudantes á los Tenientes, graduados de Capitán, D. Luis Raseti</t>
  </si>
  <si>
    <t>López Pelegrin, Ramón</t>
  </si>
  <si>
    <t>Ramón López Pelegrin</t>
  </si>
  <si>
    <t>de Chantre de la catedral de Cartagena , vacante por fallecimiento de D. Pedro Manuel del Moral, á D. Ramón López Pelegrin, pensionándola en BS rs. al año á favor de la Real capilla: para la Dignidad de Prior de la catedral de Osma, pensionada en la misma cantidad á favor de la propia Real capilla, va</t>
  </si>
  <si>
    <t>l: para el JBenchcio de la villa de Molina, en la diócesis de Cartagena., ^vacante por premoción de D. Ramón López Pelegrin á la Dignidad de Chantre de la catedral de Cartagena, á Don Manuel de Urtasun^ con la ■obligación precisa y personal residencia , y la de ayudar al Párroco .en rsu ministerio : pa</t>
  </si>
  <si>
    <t>López Pinto, Dionisio</t>
  </si>
  <si>
    <t>Dionisio López Pinto</t>
  </si>
  <si>
    <t>uirre, D. Juan Ponsich, D. Felipe del Arco Agüero, D. Joseph Sánchez Tagle, D. Francisco Xaramillo, Don Dionisio López Pinto, D. Mariano Carrillo de Albornoz, D. Francisco Justis ,D. Bernardo Landaburu, D. Diego Rejón de Silva y D. LuisLandaburu : al Cadete de Reales Guardias de infantería Wafona D. Mar</t>
  </si>
  <si>
    <t>López Portillo, Francisco</t>
  </si>
  <si>
    <t>Francisco López Portillo</t>
  </si>
  <si>
    <t>r infeliz y miserable que sea , con exemplos de mucho consuelo para los que se ven atribulados: por D. Francisco López Portillo , Oidor de la Real Audiencia de Guadalaxara: un tomo en 8.° Se hallará en las librerías de Dávíla y Ramos, calle de Jas Carretas y carrera de S. Gerónimo, en el puesto del diario</t>
  </si>
  <si>
    <t>López Quintana, Manuel</t>
  </si>
  <si>
    <t>Manuel López Quintana</t>
  </si>
  <si>
    <t>tres: Subtenencias de bandera en los de Zaragoza , Navarra y España, &gt;.áD. Francisco del Castillo y D. Manuel López Quintana, Cadetes de Reales Guardias Walonas, y al Sargento primero D. Antonio Gamero : Tenencia y Subtenencia en el regimiento de infantería Suizo de Reding al Subteniente de granaderos D</t>
  </si>
  <si>
    <t>López Royo, Francisco</t>
  </si>
  <si>
    <t>Francisco López Royo</t>
  </si>
  <si>
    <t>métodos de hallar la longitud en el mar por las observaciones lunares: su autor el Alférez de Navio D. Francisco López Royo; seguida de un apéndice en que se explica un método gráfico para corregir las distancias de la luna á otro astro, por D. Gabriel de Ciscar, Capitán de Navio de la Real Armada: un</t>
  </si>
  <si>
    <t>López Sagredo, Pedro</t>
  </si>
  <si>
    <t>Pedro López Sagredo</t>
  </si>
  <si>
    <t>de la isla ce la Gran Canaria á D. Pedro López Sagredo. lin América. En ei regimiento de infantería de Cuba se ha servido el Rey promover á Capitán al Teniente de granaderos D. Joseph Fernandez del Cueto; á Teniente de granaderos al d</t>
  </si>
  <si>
    <t>López y Andreu, Lorenzo</t>
  </si>
  <si>
    <t>Lorenzo López y Andreu</t>
  </si>
  <si>
    <t>l Deanato de la catedral de Huesca, vacante por fallecimiento de D. Ignacio Palacios de Aldunate, á D. Lorenzo López y Andreu: para la Canongía que este obtiene y resultará vacante en la ¡misma iglesia á D. Pascual López y Andreu : para el Arcedianato de la catedral de Menorca, vacante por promoción de X</t>
  </si>
  <si>
    <t>López, Agustín</t>
  </si>
  <si>
    <t>Agustín López</t>
  </si>
  <si>
    <t>atallón del de Irlanda: á Teniente en el de Cantabria al Subteniente de ranaderos del propio cuerpo D. Agustín López: en el de Zaragoza al f ubteniente de granaderos D. Antonio Abad; y en el Suizo vacante de Yann al Cadete del mismo D. Joseph Jodoco Traxler. En los regimientos provinciales ha co</t>
  </si>
  <si>
    <t>López, Antonio</t>
  </si>
  <si>
    <t>Antonio López</t>
  </si>
  <si>
    <t>yn, D. Mariano Gri-I mau y D. Francisco de Paula Somalo,y á ios Sargentos primeros0.Manuel Sánchez, D. Antonio López y D. Juan Xará. Asimismo se ka servido S. M. nombrar para la Alcaldía mayor de Su-* thitepeques, en el Reyno de Goatemala, vacante por renuncia de D.Tadeo Cerda, á D. Tomas de Molline</t>
  </si>
  <si>
    <t>voluntad de su dueñose vende en esta corte un Título de Castilla. Quien quisiere comprarlo acuda á D. Antonio López, que vive calle de S. \nton, casa nueva de las. Recogidas, núms. 7 y 8, quarto baxo, quien dará razón. Por la audiencia del Sr. D. Torquato Antonio CoIlado,deí Consejo de S. M., T</t>
  </si>
  <si>
    <t>López, Francisco</t>
  </si>
  <si>
    <t>Francisco López</t>
  </si>
  <si>
    <t>cosmografía por ei Sr. Ciscar, y el Diccionario geográfico por Mompalao. Don Pedro Joseph Cabrera, D. Francisco López "Villapol y D. Crispin Martínez Cardeza, que se distinguieron por la clase de geometría, el primero con el Curso de Bezout, y cada uno de los dos últimos con el de Matemáticas por</t>
  </si>
  <si>
    <t>D. Simón Sánchez; y para los otros tres de á 35 pesos también cada uno, á D. Jpseph Antonio García, Don Francisco López y D. Domingo Barona. Mas como lax comisión no pudo prescindir de las pruebas nada equívocas que en el referido concurso dieron algunos otros jóvenes de su constante aplicacioivy aprov</t>
  </si>
  <si>
    <t>López, Gregorio</t>
  </si>
  <si>
    <t>Gregorio López</t>
  </si>
  <si>
    <t>-S» Vicente, en la misma diócesis de Avila, vacantes por fallecimiento de D. Cosme García Parro, á D. Gregorio López: para el Arciprestazgo de Caracena , en el obispado de Sigiienza, vacante por promoción de D. Miguel Alonso á una Canongía de "Cuenca, y por renuncia que ha hecho de él D. Juan Fr</t>
  </si>
  <si>
    <t>López, Ignacio</t>
  </si>
  <si>
    <t>Ignacio López</t>
  </si>
  <si>
    <t>; á Capitán primero ai Capítan segundo D. Francisco Oyarzabal; á Capitanes segundos á lós Tenientes D. Ignacio López y D. Tomas Anillo, y á Tenientes á D. Jacobo Gil de Avalle y á D. Joaquín Ponte. En el Real cuerpo de Ingenieros del exército ha nombrado S. M. Subtenientes á los de los regimientos d</t>
  </si>
  <si>
    <t>López, Joaquín</t>
  </si>
  <si>
    <t>Joaquín López</t>
  </si>
  <si>
    <t>con la Canongía que tiene unida/ vacante por muerte de D. Joaquín López, á D. Joaquín Queypo de Llano: para una Canongía de la catedral de Cuenca, vacante por fallecimiento de D. Felipe López de Pinedo, á D. Joaquín de Urrutia y las Casas: para otra d</t>
  </si>
  <si>
    <t>López, Joseph</t>
  </si>
  <si>
    <t>Joseph López</t>
  </si>
  <si>
    <t>te al Alférez D. Luis Iriarte; y en el de Numancia, primero de Húsares, á Capitán al Ayudante mayor D. Joseph López, y á Alférez al Cadete D. Joseph María de Alippi. En América. El Rey se ha servido conferir Compañía en el regimiento de infantería de Buenos-Ayres á D. Joseph Pilis, A3Tudante ve</t>
  </si>
  <si>
    <t>López, Joseph Domingo</t>
  </si>
  <si>
    <t>Joseph Domingo López</t>
  </si>
  <si>
    <t>ago, vacante por promoción de D. Joaquín María Piñeyro á una Canongia de la catedral de Palencia, á D. Joseph Domingo López; y para otra de la parroquia de Montalban, diócesis de Zaragoza, vacante por muerte dé p. Joseph ,Espes, á D. Joseph Termis. • r. ........ El Rey se ha servido promover á Teniente</t>
  </si>
  <si>
    <t>López, Juan</t>
  </si>
  <si>
    <t>Juan López</t>
  </si>
  <si>
    <t>precio 14 rs. Se hallará con el general de España, las quatro partes del mundo y todas las obras de Don Juan López, en su despacho, plazuela del Angel, núm. 19, quarto principal, junto á la librería de Llera. EN LA IMPRENTA REAL.</t>
  </si>
  <si>
    <t>arán este Atlas y su suplemento, juntos ó se* parados, en el despacho de los mapas pertenecientes á D. Juan López, Geógrafo del Rey, plazuela del Angel, núm. 19, quarto principal, junto á la librería de Llera. Avisos baratos en un romance jocoso sobre las presentes ferias: su autor el Lie, D.</t>
  </si>
  <si>
    <t>de los nombres antiguos á los modernos. Se hallará con el mapa del reyno de Galicia y las obras de D. Juan López, Geógrafo del Rey, en su casa, plazuela del Angel, núnt. 19’, quarto principal. En el almacén general de papeles y obras de música de Escribano, cable de las Carretas, sé hallan l</t>
  </si>
  <si>
    <t>bro , en la de las Carretas. Mapa geográfico de las- provincias internas al N. de Nueva-España, por Don Juan López , Geógrafo del Rey. Comprehende el Nuevo-México, Sonora , Gstimuri, Sinalóay Culiacati,-Nueva-Vizcaya, Nayarit,- Nuevo. Reyno de León, Nueva-Extremadura ó iGoáguila , y la provinc</t>
  </si>
  <si>
    <t>ría de Háviia , calle de las Carretas. Mapa de la República francesa dividida en departamentos, por D. Juan López, Geógrafo del Rey é individuo de varias Academias y Sociedades, m Mapa de la Galia antigua, dividida en 17 provincias romanas en tiempo del Emperador Honorio, por el mismo Geógraf</t>
  </si>
  <si>
    <t>López, Julián Martín</t>
  </si>
  <si>
    <t>Julián Martín López</t>
  </si>
  <si>
    <t>á D. Francisco Perez de Arce y D. Antonio del Campo; y el 6.° se sorteo entre D. Manuel Montemayor, D. Julián Martin López y D. Manuel de Hoyos-, y recayó en Hoyos. Se graduó de sobresaliente á D. Mariano Mbllá, á quien no se dió premio por ser pasante de la escuela numeraria del'catedrático, pero se |e c</t>
  </si>
  <si>
    <t>López, Manuel</t>
  </si>
  <si>
    <t>Manuel López</t>
  </si>
  <si>
    <t>el propio cuerpo D. Julián de Sequera; Ayudantía en el de Granada al Teniente, graduado de Capitán, D. Manuel López; Compañía en el de Asturias al Ayudante, graduado de Capitán, D. Francisco Bouligni; Compañía en el de granaderos Voluntarios de Estado al Ayudante, gra</t>
  </si>
  <si>
    <t>añía Urbana de caballería de la villa de Santo-Espíritu, en la misma isla, á Doní Nicolás González, D. Manuel López, D. Gabriel Meneses y D. Joseph Velen Zamora, Subteniente, Alférez, Sargento y Cadete de la propia compañía. S. M. se ha servido nombrar para la plaza de Oidor de la Real Audienci</t>
  </si>
  <si>
    <t>López, Miguel</t>
  </si>
  <si>
    <t>Miguel López</t>
  </si>
  <si>
    <t>egundo D. Pedro Marcó; y én el batallón de Cazadores de Barbastro á Subteniente al Sargento primero D. Miguel López. El Rey ha promovido á Comisario Ordenador de sus exércitos al de éuerra D. Pearo Granini, primer profesor de la Academia militar de Segovia. ; En los regimientos de Milicias prov</t>
  </si>
  <si>
    <t>López, Tadeo</t>
  </si>
  <si>
    <t>Tadeo López</t>
  </si>
  <si>
    <t>Perchet, primer Teniente del de infantería de Jaén, y de los de Milicias de Burgos, Orense y Tuy, á D. Tadeo López, D. Juan Torralba y D. Juan Arranz, Ayudantes agregados á los de Laredo, Cuenca y Segovia. En América. El Rey se ha servido promover en el regimiento de infantería de la Corona de</t>
  </si>
  <si>
    <t>López, Tomás</t>
  </si>
  <si>
    <t>Tomás López</t>
  </si>
  <si>
    <t>Mapa geográfico del reyno de Tierra-fírme, con sus provincias, de Veragua y Darien obra postuma de D. Tomas López, geógrafo que fué de S. M. , individuo de varias academias y saciedades. Se hallará en la calle de Atocha, frente á la casa de los Gremios , quarto principal , donde se continúa s</t>
  </si>
  <si>
    <t>o de infantería de Sáboya se ha servido promover el Rey á Capitán al Ayudante, graduado de Capitán, D. Tomas López: en el de Mallorca á Ayudante al Teniente D. Antonio Yuste: en el batallón de Voluntarios de Gerona á Capitán primero al Capitán segundo D. Pedro Marcó; y én el batallón de Cazado</t>
  </si>
  <si>
    <t>as adyacentes , con una breve descripción de sus provincias: dispuesto para la utilidad pública por D. Tomas López , Geógrafo que fué de los dominios de S. M. : esta obra, una de las primeras de sil autor, comprehendia en un tamaño manual, ademas de la portada , dedicatoria y prólogo , que son</t>
  </si>
  <si>
    <t>gua: segunda parte ó continuación del publicado en 1792 con las divisiones modernas, uno y otro por D. Tomas López, Geógrafo que fué de S. M. é individuo de varias Academias y Sociedades: contiene 26 mapas,, á los que antecede una idea cronológica de la historia antigua, y sigue un índice alfa</t>
  </si>
  <si>
    <t>allará en dicha librería, y en Salamanca en la de Barco. Descripción de la provincia de Madrid, por D. Tomas López , Geógrafo que fué de S. M. • un tomo en 8.? del qual quedan ya muy pocos exemplares: lleva un mapa de.las cercanías de Madrid, que se da suelto igualmente que la descripción. Se</t>
  </si>
  <si>
    <t>López, Vicente</t>
  </si>
  <si>
    <t>Vicente López</t>
  </si>
  <si>
    <t>y en l'os puestos del diario, á 6 quartos. " La colección de estampas del Via crucis, dibuxadas por D. Vicente López y grabadas por D. Miguel Gamborino, se hallarán en las librerías de Escribano y de Gómez, calle de la Carretas, y en Valencia en la deMinguet , á 3 rs. cada estampa. Juego nuevo de</t>
  </si>
  <si>
    <t>Lord Carchare, General</t>
  </si>
  <si>
    <t>General Lord Carchare</t>
  </si>
  <si>
    <t>-él ha tomado las armas. De Dublin escriben haber llegado á aquella capital con toda su comitiva el General Lord Carchare!, que ha ido á suceder en- el marido de aquellas fuerzas al General Fox, que vuelve á Inglaterra. — Entre los arrestos de personas sospechosas se cuentan los de Miguel Quigley /Ni</t>
  </si>
  <si>
    <t>Lord Gardner, Almirante</t>
  </si>
  <si>
    <t>Almirante Lord Gardner</t>
  </si>
  <si>
    <t>un militar con quien aconsejarse. El 12 ha llegado de Cork al Almirantazgo umoñcial con pliegos del Almirante Lord Gardner. Inmediatamente corrió la voz de que una es¿ -quadr.ñ enemigá parecía dirigirse hacia las costas de Irlanda; pero Hay motivo para creer que es la esquadra dé Santo Domingo que se</t>
  </si>
  <si>
    <t>Lord Keith, Almirante</t>
  </si>
  <si>
    <t>Almirante Lord Keith</t>
  </si>
  <si>
    <t>n favor nuestro, y en apoyo de esta noticia se cita una&gt; carta del Capitán Elphinstone, hermano del Almirante Lord Keith. Este Oficial que, con permiso del Rey, sirve en la marina rusa, debe de haber hecho mención de algunas órdenes, que supondriafn una co-operacion con la Inglaterra; pero se conoce</t>
  </si>
  <si>
    <t>Lord Nelson, Almirante</t>
  </si>
  <si>
    <t>Almirante Lord Nelson</t>
  </si>
  <si>
    <t>par-, licul^es que se negocian en el dia. ;i,. t • ■ /n.! «. Lemires 7 de Setiembre. , ,. E i VÍce-Almirante Lord Nelson , comandante deJ¿,s.fuerzas británicas en el Mediterráneo, escribe al Almirantazgo con. fec^a-d.e;;iJ-.de Jpnio á bordo del Anfión, participándole que el navio de S. M. el Maros t</t>
  </si>
  <si>
    <t>Losada y Quiroga, Antonio</t>
  </si>
  <si>
    <t>Antonio Losada y Quiroga</t>
  </si>
  <si>
    <t>cuerpo D. Benito María de Castro: Tenencias en los de Mondoñedo, Ronda y Cuenca á los Subtenientes D. Antonio Losada y Quiroga , D. Diego Serrano y D. Joseph Henriquez, y al Teniente reformado D. Leonardo Antonio de Mena: las Subtenencias de granaderos de los de Córdoba, Truxillo y Cuenca , á los Subtenie</t>
  </si>
  <si>
    <t>Loy Amaya de Lanzarote, Pedro María</t>
  </si>
  <si>
    <t>Pedro María Loy Amaya de Lanzarote</t>
  </si>
  <si>
    <t>D. Felipe López de Pinedo, y por haberse excusado á admitirla D. Joaquín de Urrutia y las Casas, á Don Pedro María Loy Amaya de Lanzarote: para la de la de Guadix, vacante por promoción de D. Andrés de Amaya al Priorato de la misma, á D. Cárlos Marín: para la de la de S. Hipólito de Córdoba, vacante por fallecimient</t>
  </si>
  <si>
    <t>Lozano y Avellan, Francisco Xavier</t>
  </si>
  <si>
    <t>Francisco Xavier Lozano y Avellan</t>
  </si>
  <si>
    <t>niente segundo de Corregidor de Madrid, á D. Juan Sebastian Neri; y para el de la ciudad de Ubeda á D. Francisco Xavier Lozano y Avellan , que son los dos Alcaldes mayores que había. en la ciudad de Cádiz. En América* El Rey se ha servido nombrar para la Dignidad dé Maestrescuela de la metropolitana de Manila, vaca</t>
  </si>
  <si>
    <t>Lozano, Gregorio</t>
  </si>
  <si>
    <t>Gregorio Lozano</t>
  </si>
  <si>
    <t>re de su marido D.Juan López de Sedaño, vecino de Madrid, se halla.un legado de 2200 rs8.á favor de D. Gregorio Lozano, también vecino de Madrid; y no sabiéndose su destino ni paradero, se cita y efnplaza al mismo ó sus herederos, si los tuviese, para que en el término de un ano comparezcan en el</t>
  </si>
  <si>
    <t>Lozano, Juan Nepomuceno</t>
  </si>
  <si>
    <t>Juan Nepomuceno Lozano</t>
  </si>
  <si>
    <t>10)0 bido á SS. MM. D Ió principio su Secretario D. Juan Nepomuceno Lozano, Abogado de los Reales Consejos, con un discurso exhortatorio á favor de .sus conciudadanos verdaderamente necesitados , para que sean oportunamente socorridos con comidas económi</t>
  </si>
  <si>
    <t>Lubeck</t>
  </si>
  <si>
    <t>oncede á la nobleza el derecho de comerciar por mayor , sin perder sus privilegios ni sus derechos. D Lubeck 4 de Enero de looj. •Cd gobierno dinamarqués se ocupa desde la semana última en limpiar la ciudad de Fackenburgo , situada en nuestra frontera , de todos los inendigos y gentes so</t>
  </si>
  <si>
    <t>Luciano Alaball</t>
  </si>
  <si>
    <t>vacante por fallecimiento de D. Andrés Estebanell, y por renuncia que hizo D. Francisco Masdemos, á D. Luciano Alaball. S. M. se ha servido nombrar para una plaza de Alcalde del crimen de la Chancillería de Granada , vacante por promoción de D. JosephMorillas y Navarrete á Oidor supernumerario de</t>
  </si>
  <si>
    <t>Luco, Joseph</t>
  </si>
  <si>
    <t>Joseph Luco</t>
  </si>
  <si>
    <t>ién graduado de Capitán, D. Bernardo Casamayor: en el de Málaga Compañía al Caballero Page de S. M. D. Joseph Luco: en el de Voluntarios db Castilla Tenencia al Subteniente de granaderos-D. Domingo Conde: en el de Granaderos Voluntarios de Estado Ayudantía al Teniente, graduado de Capitán, D.</t>
  </si>
  <si>
    <t>Lúeas Antonio del Campo</t>
  </si>
  <si>
    <t>ecciones públicas de jBqi y 1802. Se hallará con los anteriores en el despacho de la imprenta Real. Don Lúeas Antonio del Campo, vecino de la villa de Santoña, remitió por el torreo deí dia 2 del corriente á la viuda de Sojo , del comercio de esta corte , dos acciones del Real empréstito de 160 millones, n</t>
  </si>
  <si>
    <t>Lúeas Belmar</t>
  </si>
  <si>
    <t>aderos del de Cantabria, graduado de Teniente Coronel , D. Joaquín Colas, y Tenencia al Subteniente D. Lúeas Belmar: en el de León el empleo de Ayudante al Teniente D. Juan Albanel : en el de Cantabria Gapellanía.al presbítero D. Anto</t>
  </si>
  <si>
    <t>Lúeas Portillo</t>
  </si>
  <si>
    <t>apitán, graduado de Teniente Coronel; D. Nicolás Pastor; Compañía al Ayudante, graduado de Capitán, D. Lúeas Portillo, y Ayudantía al Teniente, graduado de Capitán, D. Jacinto Peretti: en el de Montesa Compañías al Ayudante mayor D. Eugenio Ramón dé Azcarraga y al Teniente D. Juan Frasnedo; Ayuda</t>
  </si>
  <si>
    <t>Luege Villar, Bernardo Antonio</t>
  </si>
  <si>
    <t>Bernardo Antonio Luege Villar</t>
  </si>
  <si>
    <t>ar pata la Canongía de la catedral de Oviedo, vacante por tallécimiento de D. Joseph Díaz Sedeño, a D. Bernardo Antonio Luege Villar: para otra de la de Tuy , vacante por promoción de D. Francisco Ventura de Castro y Villegas al Deanato de la misma, á D. Bernardo Sánchez Cidras: -para una Ración de la santa igl</t>
  </si>
  <si>
    <t>Luengo, Carlos</t>
  </si>
  <si>
    <t>Carlos Luengo</t>
  </si>
  <si>
    <t>da, leña y una caballería libre en los prados. Los que quieran pretender dirigirán sus memoriales á D. Carlos Luengo, Alcalde por el estado noble de la dicha villa de Fresno el Viejo,y se admitirán hasta el día 16 del próximo mes de Julio.</t>
  </si>
  <si>
    <t>Lugo, Joseph María</t>
  </si>
  <si>
    <t>Joseph María Lugo</t>
  </si>
  <si>
    <t>nombrado segundo Ayudante del batallón de infantería ligera de Voluntarios de Valencia ai Teniente D. Joseph María Lugo. En el Real cuerpo de Artillería se ha servido el Rey promoverá Capitán primero de la primera compañía fixa de Ceuta á D. JuanTerres; á Capitán segundo de la de Mallorca á D. Manu</t>
  </si>
  <si>
    <t>Luis, Archiduque</t>
  </si>
  <si>
    <t>Archiduque Luis</t>
  </si>
  <si>
    <t>Praga. Se asegura que el gobierno de Bohemia está destinado al Archiduque Juan, y el de Moravia al Archiduque Luis. Según las cartas de Viena han llegado á aquella capital muchos correos de Gonstantinopla y de las fronteras de Turquía. Los primeros han sido despachados por el Internuncio austr</t>
  </si>
  <si>
    <t>e asegura que se ha destinado el,gobierno de Bohemia para el Archiduque Juan, y el de la Moravia al Archiduque Luis. Actualmente están visitando ambos Príncipes las dos provincias. EJ Barón de Colli, Teniente-Feld-Mariscal al servicio de la Austria, ha sido nombrado por S. M. I. Enviado extraor</t>
  </si>
  <si>
    <t>Luis, Príncipe</t>
  </si>
  <si>
    <t>Príncipe Luis</t>
  </si>
  <si>
    <t>ncia del Elector diferentes maniobras y evoluciones militares. Estas tropas estaban mandadas por el Príncipe Luis, hijo del Margrave. Después le fuéron á cumplimentar los Ministros y Consejeros íntimos, los Ministros extrangeros, los miembros de los dicasterios &amp;c. Ha hecho numerosas promocio</t>
  </si>
  <si>
    <t>Luís-de Robles</t>
  </si>
  <si>
    <t>Landivar y Centeno: para el Arcedianato déla catedral de Santa Marta, vacante por fallecimiento de D. Luís-de Robles, al Chantre D. Pedro Gabriel Díaz Granados: para la Chantría al Tesorero D. Joseph Vicente Troitiño: para la Tesorería al Cura Rector del Sagrario de dicha catedral D. Joseph Greg</t>
  </si>
  <si>
    <t>Luisa Augusta, Princesa</t>
  </si>
  <si>
    <t>Princesa Luisa Augusta</t>
  </si>
  <si>
    <t>eshelada, y ya han salido del puerto dos navios americanos.__ JE1 navio de la compañía asiática, la Princesa Luisa Augusta ¿ que ha pasado el invierno en Noruega, dio el 4 la vela para la China» Francfort 1.° de Abril* L a corte de Viena se ocupa al presente en la organización de tribunales, y quanto</t>
  </si>
  <si>
    <t>Luisa Wiihelmina, María (princesa)</t>
  </si>
  <si>
    <t>Princesa María Luisa Wiihelmina</t>
  </si>
  <si>
    <t>énito Juan Augusto Carlos. Hallándose este Príncipe en su menor edad, quedará encargada sü madre la Princesa María Luisa Wiihelmina, del gobierno, hasta que entre en edad competente. El decreto de la comisión imperial relativo á los votos viriles, no ha venido aun; pero se espera de día en día. Esta dilación h</t>
  </si>
  <si>
    <t>Luisa, María</t>
  </si>
  <si>
    <t>María Luisa</t>
  </si>
  <si>
    <t>o Real y Peñafuente, Grande de España honoraria, y Dama de la Real orden de la Reyna nuestra Señora Doña María Luisa , á los 57 años, 2 meses y 7 dias de edad: habiéndose empleado pór mas de 22 años en obras de piedad, asistiendo á las enfermas en el hospital, á las encarceladas en la galera y e</t>
  </si>
  <si>
    <t>s de ayer se vistió laMadrid 8 de Julio. corte de gala con motivo del cumpleaños dé Ja Sra. Infanta Doña María Luisa , Reyna viuda de Etruria, y de la Sra. Infanta Dona María Isabel, Princesa de las Dos Sicilias. El Rey se ha servido promover en él regimiento de infantería Inme^ ¿norial del Rey</t>
  </si>
  <si>
    <t>Luiz González</t>
  </si>
  <si>
    <t>de Luque. Asimismo se ha dignado S. M. conferir Compañía en el regimiento de húsares de Olivencia á D. Luiz González, Capitán agregado al propio cuerpo. El Rey se ha servido promover á Capitán primero del Real cuerpo de Artillería al de segunda clase D. Fernando de Silva. En el Real cuerpo de In</t>
  </si>
  <si>
    <t>Lujando, Joseph</t>
  </si>
  <si>
    <t>Joseph Lujando</t>
  </si>
  <si>
    <t>pilotage astronómico con exactitud v facilidad, inventadas y delineadas por el Teniente de Fragata D. Joseph Lujando, y dedicadas al Excmo. Sr. Príncipe de la Paz, Generalísimo de mar y tierra. El autor de esta obra, conociendo por propia experiencia quán penoso es en la mar el cálculo prolixo d</t>
  </si>
  <si>
    <t>Luxan, Antonio</t>
  </si>
  <si>
    <t>Antonio Luxan</t>
  </si>
  <si>
    <t>regimientos, graduados de Tenientes Coroneles, D. Pedro Labastida, D. Joseph Imaz, D. Antonio Moya, D. Antonio Luxan, D. Luis Bertrán, D. Nicolás Darcourt, D. Francisco de Corts, D. Cárlos Fitzgerald, D. Juan Brikdale, D. Juan O-Donovan, D. Juan Ponce de León , D. Antonio Lechuga y D. Joseph O-D</t>
  </si>
  <si>
    <t>Luzan, Ignacio</t>
  </si>
  <si>
    <t>Ignacio Luzan</t>
  </si>
  <si>
    <t>aquin Ferreyra. S. M. se ha servido nombrar para el Corregimiento de letras de la ciudad de Fraga á D. Ignacio Luzan: para el de la villa de Onteniente á D. Gerónimo Servent: para la Alcaidía mayor de la ciudad de Jaca 2 D. Manuel Becerril y Valero: para la de Ciudad-Real á D. Valentín Melendo:</t>
  </si>
  <si>
    <t>Lynch, Capitán</t>
  </si>
  <si>
    <t>Capitán Lynch</t>
  </si>
  <si>
    <t>ante de las Molucas , escrita al gobierno general el 79 de Agosto de 1802. ,,E1 navio el Bangalore, Capitán Lynch, ha naufragado en el mes de Mayo último en un baxo desconocido, y situado á los 7 grad. y 3R min. de lat. meridional, y 120 grad. y 45 min. de long. oriental, como á 11 ó 12 legua</t>
  </si>
  <si>
    <t>L’Abbe Barthelemy</t>
  </si>
  <si>
    <t>Voyage du Jeune Anacharsis en Grece , dans le milleu du quatrieme siecle avant I’ ere vulgaire: par Mr. L’Abbe Barthelemy: 9 tomos en 8.° prolongado, «d icion de Madrid: va inclusa la vida del autor, y un mapa general de la Grecia. Se hallará en las librerías de Quiroga , calle de las Carretas y de l</t>
  </si>
  <si>
    <t>M'óréjori, Francisco</t>
  </si>
  <si>
    <t>Francisco M'óréjori</t>
  </si>
  <si>
    <t>los tres primeros Luis Dáunoy j D. Luis Bóuiigny; D. Luis Gayar re y D Cirilo Demorant, los Cadetes D. Francisco M'óréjori , D. Francisco Duvreüiil, Don Juan Domínguez, D. Félix Forstáll , D. Pedro Reggio y1 D. Cátlos Rcggio, y los Sargentos primeros D. Matías Cervera, de granaderos, P Francisco Cañed</t>
  </si>
  <si>
    <t>M-encía, Manuel</t>
  </si>
  <si>
    <t>Manuel M-encía</t>
  </si>
  <si>
    <t>to para ’cantar á'.soló ó entre-muchos, con ¡su baxo'ó* ucórj^añamieñtov de composición del maestro D. Manuel M-encía: ej .gvicioso minuete;nuevo , compuesto, sobre el lema de lá cavatina*del Paisiello, lahRachelinay para cantar, al . clave ó pianoforte, y 'separadamente para lar guitar^ ra.': un</t>
  </si>
  <si>
    <t>Ma, Francisco</t>
  </si>
  <si>
    <t>Francisco Ma</t>
  </si>
  <si>
    <t>ia de Lima, vacante por promoción de D. Josepk (jorvea y Vadillo á Regente de la de Buenos-Ayres, á D. Francisco Ma-{ riueLHerrera, Fiscal de la Audiencia de Chile. % En cumplimiento de lo mandado por S. M. en Real Pragmática-Sanción de 30 de Agosto-dé 1800* desde i.° de Agosto próximo hasta 30</t>
  </si>
  <si>
    <t>Maby, Nicolás</t>
  </si>
  <si>
    <t>Nicolás Maby</t>
  </si>
  <si>
    <t>resado cuerpo. El Rey se ha servido nombrar para la Comandancia de la provincia de Tuy al Brigadier D. Nicolás Maby, Alférez de la Compañía Flamenca del Real cuerpo de Guardias de Corps:para el Gobierno militar y político de la plaza de Jaca ál Mariscal de Campo D. Juan Onell: para la Tenencia</t>
  </si>
  <si>
    <t>Macdowal, General</t>
  </si>
  <si>
    <t>General Macdowal</t>
  </si>
  <si>
    <t>s habitantes de la ciudad y del distrito. Los últimos informes recibidos dei ejército que .manda el General Macdowal estan escritos en Kattaderria en las fronteras de Candía. Las trGpas gozaban de perfecta salud, y estaban muy animadas: el 10 dedFebrero de-, bian pasar el rio Kavmelle para entrar</t>
  </si>
  <si>
    <t>Machadó, Andrés</t>
  </si>
  <si>
    <t>Andrés Machadó</t>
  </si>
  <si>
    <t>asal; Ayudantía al Teniente, con igual grado, D. Francisco Toro, y Subtenencia de bandera al Cadete D. Andrés Machadó: en el de ¡Navarra Tenencias á los Subtenientes D. Francisco González, D. Juan González, D. Francisco GaIlano y D. Antonio Valdes; y Subtenencias de bandera á los Sargentos ■prime</t>
  </si>
  <si>
    <t>Machado, Francisco Antonio</t>
  </si>
  <si>
    <t>Francisco Antonio Machado</t>
  </si>
  <si>
    <t>bteniente y Alférez de la compañía Urbana de caballería del partido de Alvarez , en aquella isla, á D. Francisco Antonio Machado y D. Joseph María Consuegra, Alférez y Cadete de la propia compañía ; y Alférez y Portaes'tandarte del regimiento de Milicias disciplinadas de caballería de la Havana á D. Miguel Hern</t>
  </si>
  <si>
    <t>Machuca, Manuel</t>
  </si>
  <si>
    <t>Manuel Machuca</t>
  </si>
  <si>
    <t>ral de Palencia, vacante por promoción de D. Anselmo de Soto á una Canongía de la misma catedral* á D. Manuel Machuca: para un Beneficio sito en el término de Porquera de Santullan, vacante por muerte de D. Juan Giiemes, á D. Ramón Braña y Martínez , Cura del lugar de Nava de Santullan, en la dió</t>
  </si>
  <si>
    <t>Mackena, Joseph Ramón</t>
  </si>
  <si>
    <t>Joseph Ramón Mackena</t>
  </si>
  <si>
    <t>eros D. Joaquin de Soto y D. Raymundo Ruiz: en el de Irlanda Tenencia al Subteniente de granade ros D. Joseph Ramón Mackena; y en el de Extremadura Compañía al Teniente de granaderos, graduádo.de Capitán , D. .Ramón Bemad. S. M. se lia servido conceder el empleo de Alférez en el regimiento de Cazadores</t>
  </si>
  <si>
    <t>Madariaga, Rafael</t>
  </si>
  <si>
    <t>Rafael Madariaga</t>
  </si>
  <si>
    <t>pañolas se ha servido promo-ver el Rey á Capitán1 al Comandante de cazadores, graduado de Coro~nel, D. Rafael Madariaga. El Rey se ha servido conferir en el regimiento de infantería de León Compañía al Ayudante, graduado de Capitán, D. Francisco Pastor: en el de Astúrias Tenencia al Subteniente de</t>
  </si>
  <si>
    <t>Madueño, Diego María</t>
  </si>
  <si>
    <t>Diego María Madueño</t>
  </si>
  <si>
    <t>anongía de la colegial de Ubedadiócesis de Jaén, vacante por fallecimiento de D. Manuel del Olmo, á D. Diego María Madueño v Prado : para otra Canongía de la colegial de Uxijar, en el arzobispado Granada, vacante por muerte de D. Miguel Suarez Donayre, á D. Juan Joseph Rodríguez Granados : para otra C</t>
  </si>
  <si>
    <t>Magaña, Joseph Joaquín</t>
  </si>
  <si>
    <t>Joseph Joaquín Magaña</t>
  </si>
  <si>
    <t>miento de infantería del Príncipe se ha servido promover el Rey á Subtenientes de bandera al Cadete D. Joseph Joaquin Magaña, y al Teniente del de Milicias de Xerez D. Joseph Rodríguez: en el de infantería de Mallorca á Ayudante al Teniente, graduado de Capitán, Don Antonio Isla ;-y en el de Burgos á Su</t>
  </si>
  <si>
    <t>Magarola, Joseph María</t>
  </si>
  <si>
    <t>Joseph María Magarola</t>
  </si>
  <si>
    <t>uado de Teniente Coronel, D.: Francisco Uz-tariz’; y á segundo Ayur dante mayor al segundo Teniente D. Joseph María Magarola. S. M. se ha dignado promover en el regimiento de infantería de Zaragoza á Capitán al Ayudante D. Ramón González de Bernedo: en el de Mallorca á Capitán al Teniente de granaderos,</t>
  </si>
  <si>
    <t>Magdalena Fernández y Figuero</t>
  </si>
  <si>
    <t>ueltas por juegos. La Muerte de Abel vengada : tragedia en 3 actos, acomodada al teatro español por Dona Magdalena Fernandez y Figuero. Este drama presenta el interes mas vivo, nacido de la sencilla trama de la acción : puede tenerse como un género nuevo en el teatro: aquí el justo, agotando en vano el poder del</t>
  </si>
  <si>
    <t>Magdalena Fernández y Figueró</t>
  </si>
  <si>
    <t>años del Peral. Esta traducción es enteramente distinta de la que se publicó en 24 de este mes, por Doña Magdalena Fernandez y Figueró. Se hallará 'en la librería de Alonso, frente á las gradas de S. Felipe. En el almacén de papeles y obras de música de Escribano, calle délas Carretas, se hallan las siguientes. L</t>
  </si>
  <si>
    <t>Magdh, Almirante</t>
  </si>
  <si>
    <t>Almirante Magdh</t>
  </si>
  <si>
    <t>riencia consumada. También se distinguieron los* artilleros déTá batería del Cabo Griné. _E1 Cbntra-Almirante Magdh habia salido dél puerto de Bolonia con las fiáérzas que allí*había,y la división recien llegad^ de Calais, y desempeñó taá lbcidam'enté su comiólo h, qué .el Almirante dice haber</t>
  </si>
  <si>
    <t>Magín de Galli</t>
  </si>
  <si>
    <t>. El Rey se ha servido nombrar Teniente del regimiento de infantería de la Corona de Nueva-España á D. Magín de Galli, Guardia de Corps de la Real Compañía Americana. ■' 1 Por auto nroveido por el Sr. D. Ignacio Martínez de Villela, del Consejo de S. M., Alcalde de la Real casa y corte, Juez que</t>
  </si>
  <si>
    <t>Magín Puig</t>
  </si>
  <si>
    <t>para otro Beneficio de la parroquial de Falcét, diócesis de Tarragona, vacante por fallecimiento ae D. Magín Puig, á D. Pedro Caíala: para la Prestamera de la villa de los Molares, en eL arzobispado de Sevilla , vacante por muerte de D. Miguel Gascón, á D. Joseph de la Vega y Bolaño: para el</t>
  </si>
  <si>
    <t>Magon, Almirante</t>
  </si>
  <si>
    <t>Almirante Magon</t>
  </si>
  <si>
    <t>e mas pronto;que ló.que se había creído , y q*ue le^ acompañará el Ministro de la Guerra. El Contra-Almirante Magon continúa inspeccionando nuestros puertos para asegurarse del estado de nuestros armamentos marítimos, y para juntar, según dicen, un número proporcionado de buques de transporte.</t>
  </si>
  <si>
    <t>atacar la esquadrilla ya reunida ial tiempo de^dar fond^ y ántes que pudiera acoderarse. El Contra-Almirante Magon mandó én persona este combate, en que dice el Almirante Bríihe dio eh énerriigó nuevos, testimonios de su impotencia. . • ■' ^ • ! 1 1 Ayer celebró él Instituto nacional ktPjunta</t>
  </si>
  <si>
    <t>er al anochecer lo’s buques enemigos, á pesar de que fueron atacadas al tiempo de anclar. E! Contra-Almirante Magon mandaba en persona este combate, i quien le había dado las instrucciones que tuve por convenientes para las maniobras que debía executar. La orden adjunta de la esquadrilla contie</t>
  </si>
  <si>
    <t>Magrast, Tomás</t>
  </si>
  <si>
    <t>Tomás Magrast</t>
  </si>
  <si>
    <t>Cenarro: en el de Uitonia Subtenencia dé bandera al Cadete D. Tomas Magrast: en el de Guadalaxara Subtenencia de bandera al Sargento primero de granaderos D. Francisco Barreda; y ha promovido en el batallón de Voluntarios de Tarragona á Capitán segundo al</t>
  </si>
  <si>
    <t>Magriña, Juan</t>
  </si>
  <si>
    <t>Juan Magriña</t>
  </si>
  <si>
    <t>e Zaragoza; y en el batallón de Veluntarios de Tarragona Subtenencia de bandera al Sargento primero D. Juan Magriña. S. M. se ha servido promover en el Real cuerpo de Ingenieros del exército á. Teniente Coronel á D. Fernando Gabriel, Sargento mayor; á este empleo á D. Juan Zapatero, D. Ramón de</t>
  </si>
  <si>
    <t>Mailol, Pedro</t>
  </si>
  <si>
    <t>Pedro Mailol</t>
  </si>
  <si>
    <t>ndado baxo la invocación de todos los Santos en la catedral de Gerona, vacante por fallecimiento de D. Pedro Mailol, á D. Antonio Serva-, para el Beneficio de la parroquia de Tuque, en la diócesis de Córdoba, vacante por muerte de D. Antonio Motezuma y Roxas, á D. Manuel María de Tejada y Romer</t>
  </si>
  <si>
    <t>Máister, Francisco Antonio</t>
  </si>
  <si>
    <t>Francisco Antonio Máister</t>
  </si>
  <si>
    <t>dete D. Juan Jorge Amiet; y en él de Ruttiman á Capitán .segundo al Ayudante, graduado dé ^Capitán, D. Francisco Antonio Máister. En América. El Rey se ha servido nombrar Ayudantes veteranos de los regimientos de Milicias disciplinadas de Voluntarios de caballería de Salta y del Tucuman á D. Norbertó Monter</t>
  </si>
  <si>
    <t>Maitland, General</t>
  </si>
  <si>
    <t>General Maitland</t>
  </si>
  <si>
    <t>mayor honor; pero qué sobre este asunto no diría cosa alguna mas, sin orden especial de S. VM.__ El General Maitland habló contra la mocion, alegando que ya existía un consejo de guerra. .— Mr. Calcraft respondió á una objeción del Canciller del Echiquier, en que decía que el medio propuesto no</t>
  </si>
  <si>
    <t>Malavia, Antonio</t>
  </si>
  <si>
    <t>Antonio Malavia</t>
  </si>
  <si>
    <t>euta á primer Subteniente al segundo D. Simón Romero, y á segundos Subtenientes ai Sargento primero D. Antonio Malavia, y al Cadete, graduado de Subteniente, D. Fiorentin Martínez: en el de granaderos Voluntarios de Estado á Sargento mayor al Capiran del de América D. Pedro López Hermoso : en el s</t>
  </si>
  <si>
    <t>Maldonado, Pedro</t>
  </si>
  <si>
    <t>Pedro Maldonado</t>
  </si>
  <si>
    <t>10, Carta geográfica en quatro hojas de la provincia de Quito y de sus adyacentes, obra postuma de D. Pedro Maldonado, hecha sobre las observaciones astronómicas y y geográficas de los Académicos Reales de las Ciencias de París y de los Sres. D. Jorge Juan y D. Antonio de Ulloa...................</t>
  </si>
  <si>
    <t>MaldonadoyD, Manuel</t>
  </si>
  <si>
    <t>Manuel MaldonadoyD</t>
  </si>
  <si>
    <t>menes públicos de sus alumnos ei dia 5 de este mes por la mañana , y se adjudico el primer premio á D. Manuel MaldonadoyD. Roque Sosvilla, el segundo á D. Francisco. Velarde, y el tercero á D. Manuel Agudo, D. Ramón Estrada y.D. Ramón Bodega. El numeroso y lucido concurso que asistió á este acto, pre</t>
  </si>
  <si>
    <t>Malfeyto, Lorenzo</t>
  </si>
  <si>
    <t>Lorenzo Malfeyto</t>
  </si>
  <si>
    <t>á Capitán primero al Capitán segundo D. Juan Antonio Barutell, y á Subteniente de bandera al Cadete D. Lorenzo Malfeyto. lin América. El Rey se ha dignado conceder el empleo de Teniente de Rey y Cabo Subalterno de la plaza de Cartagena de Indias al Coronel D. Blas de Soria, Sargento mayor que era d</t>
  </si>
  <si>
    <t>Malroto, Joseph Joaquín</t>
  </si>
  <si>
    <t>Joseph Joaquín Malroto</t>
  </si>
  <si>
    <t>aná, vacante por promoción de D. Cecilio Odoardo á plaza de Oidor de la Audiencia de Guadalaxara, á D. Joseph Joaquín Malroto, Abogado de los Reales Consejos. Por Escribanía de Cámara y de Gobierno del Consejo Real se ha expedido con fecha de 7 de este mes la circular siguiente: Con fecha 29 de Setiembre</t>
  </si>
  <si>
    <t>Malte-Brun</t>
  </si>
  <si>
    <t>bre, tuvieron la honra. de presentarse al Cónsul Cambaceres Mr. Mentelle, del Instituto nacional, y Mr. Malte-Brun, literato dinamarqués; y le entregaron.una nueva geografía universal, matemática, física y política, y el Cónsul agradeció el homenage. Se asegura estar adoptado por el primej Cón</t>
  </si>
  <si>
    <t>Mancebo y Torres, Antonio</t>
  </si>
  <si>
    <t>Antonio Mancebo y Torres</t>
  </si>
  <si>
    <t>legial de Baza, diócesis de Guadix, vacante por fallecimiento de D. Andrés Saenz Diez y Durango, á D. Antonio Mancebo y Torres, Dignidad de Arcipreste de la misma iglesia: para uña Ración de la de SantiLlana¡ diócesis de Santander, vacante por ascenso d.e D. Joseph Antonio Norie-» ga á una Canongía de la</t>
  </si>
  <si>
    <t>á D. Mateo Romano: para la Dignidad de Arcipreste de la catedral de Guadix, vacante por ascenso de D. Antonio Mancebo y Torres á la de Tesorero de la colegial de Baza, á D. Pantaleon Alvarez Cíenfuegos: para el Arciprestazgo de la parroquia de S. Juan de la villa de Talamanca, en el arzobispado de Toledo,</t>
  </si>
  <si>
    <t>Mancha, Francisco</t>
  </si>
  <si>
    <t>Francisco Mancha</t>
  </si>
  <si>
    <t>sobre la fortificación, y presentó el plano de una plaza irre^ guiar: tiene de servicio ocho meses. Don Francisco Mancha, igual en ordenanza y de matemática poco ménos que Coquelin, presento el plano de una plaza irregular, é hizo un discurso sobre la trigonometría: tiene un año y diez meses de serv</t>
  </si>
  <si>
    <t>Mancha, Joseph</t>
  </si>
  <si>
    <t>Joseph Mancha</t>
  </si>
  <si>
    <t>ntero: en los dei Príncipe, España y Mallorca á los Subtenientes de granaderos D. Mariano Cañellas, D. Joseph Mancha y D. Manuel Virizuela: á Capitán segundo en el batallón de Voluntarios de Valencia al segundo Ayudante D. Antonio Ramón: á Ayudante del regimiento de infantería Suizo ambulante de Rut</t>
  </si>
  <si>
    <t>Manfredini, Conde</t>
  </si>
  <si>
    <t>Conde Manfredini</t>
  </si>
  <si>
    <t>o Ministro de Estado , sin intervención en los negocios extrangeros, cuyo despacho es privativo del Conde Manfredini. El nuevo Elector se ha mostrado muy generoso con el Arzobispo, á quien lia asignado nna renta de too® florines, en lugar de 6o® que se le asignaron en la Diera. El Arzobispo no v</t>
  </si>
  <si>
    <t>Manfredmi</t>
  </si>
  <si>
    <t>rnando, Elector de Salzburgo, ha marchado a su nueva residencia. S. A. E. divide su confianza entre Mr. Manfredmi y el Marques de Cupponi, que ha hecho venir a Viena, y le ha condecorado Hace algunos años que el Emperador aprobó el proyecto de abrir un canal entre Viena y Neustadt; en el que se h</t>
  </si>
  <si>
    <t>Mangiron, Segundo</t>
  </si>
  <si>
    <t>Segundo Mangiron</t>
  </si>
  <si>
    <t>re hacer postura acuda á dicho Sr. Alcalde por la escribanía del número y Ayuntamiento del cargo de D. Segundo Mangiron; en inteligencia de que su remate está señalado para el dia 11 de Julio próximo en las casas consistoriales de dicha villa desde las 9 á las 12 de su mañana. 1 Habiendo resuelto S</t>
  </si>
  <si>
    <t>re hacer postura acuda á ¿icho Sr. Alcalde por la escribanía del número y Ayuntamiento del cargo de D. Segundo Mangiron; en inteligencia de que su remate está señalado para el dia 24 de Agosto próximo, en las casas consistoriales de dicha villa, desde Jas 9 á las 12 de su mañana. Eos herederos inme</t>
  </si>
  <si>
    <t>Manrique, Jorge</t>
  </si>
  <si>
    <t>Jorge Manrique</t>
  </si>
  <si>
    <t>ía de Castillo á ó rs. en rustica y 8 en pasta : un tomo «n i 2.°; Van puestas al fin las coplas de D. Jorge Manrique. En esta edición se ha procurado rio innovar el estilo característico en que se hizo la del año 1594, que ha servido de original para que logre el público tener un retrato fiel y</t>
  </si>
  <si>
    <t>Manu</t>
  </si>
  <si>
    <t>de la Inclusa; Ü. Juan Sierra Muñoz , portal de Sta.‘ Cruz; D: Vale ntiñ Retes,calle de las Postas; Don Manu.e.LM&amp;üJIe,..calie.dc la Montera; D. Félix Antonio. .Goyri, calle de</t>
  </si>
  <si>
    <t>ción de méritos al Escribano del Ayuntamiento de dicha villa D. Juan Joseph lagares , y en Madrid á D. Manu.el de Quevedo Bustamante , Secretario de la Subdelegaron de imprentas y librerías del reyno, calle ancha de. Peligros, núm. 18, quarto segundo. . ' , : Institutiones philosophiae</t>
  </si>
  <si>
    <t>Manuel Adam</t>
  </si>
  <si>
    <t>iente de granaderos al de fusileros Don Francisco González; á Teniente al Subteniente de granaderos D. Manuel Adam; á Subteniente de granaderos al de fusileros D. Juan de Urquidi, y á Subteniente de bandera al Cadete D. Joseph Villante. El Rey se ha servido conferir la Comandancia del batallón</t>
  </si>
  <si>
    <t>Manuel María</t>
  </si>
  <si>
    <t>e granaderos D. Dámaso de Vargas ; y á Subtenientes dé bandera al Subteniente reformado de Milicias D. Manuel María dePeñafedonda, y ai Sargento primero de granaderos D. Manuel Devis: en el de Hibernia á Ayudante al Teniente, graduado de Capitán, D. Gaspar Gisbert: en ei de la Princesa á Subtenien</t>
  </si>
  <si>
    <t>Manuel' Vücente--de Torres</t>
  </si>
  <si>
    <t>en ’Madrííd al expresado Goyri. * ' ’ -. i* ; : ..rrcr providencia del Sr. D.. Manuel' Vücente--de Torres, Teniente (Sorte^ídr1 de esta villa, se ha mandado sacar á piiblica subasta por término de 30 diás fona casa que Se acaba de renovar , sita eii la calle de Sta. Isabel , rrúm. 4 , manz. 7-,</t>
  </si>
  <si>
    <t>Manuel-del Castillo y Negrete</t>
  </si>
  <si>
    <t>de Cerdan Pontero á plaza de Fiscal del Consejo y Cámara de Indias por lo perteneciente al Perú, á D. Manuel-del Castillo y Negrete, Alcalde, del Crimen de la Real Audiencia de México.. Con fecha de 9 de este mes se ha comunicado por el Ministerio de la Guerra la Real orden siouiente: Habiendo ocurrido algunas</t>
  </si>
  <si>
    <t>Mañufel Navarros</t>
  </si>
  <si>
    <t>cho de lá imprenta Real; en el Real sitio de Aranjuez en la tienda del Rubio; y en Cádiz en casa de D. Mañufel Navarros</t>
  </si>
  <si>
    <t>Manzo, Miguel Francisco</t>
  </si>
  <si>
    <t>Miguel Francisco Manzo</t>
  </si>
  <si>
    <t>de la Havana; Tenencia de granaderos á D. Mariano Aymericii, y ía Tenencia veterana que este dexa á D. Miguel Francisco Manzo, Sargento primero veterano del mis: 1110 batallón. Finalmente, ha conferido S. M. en la compañía urbana de milicias de caballería de la villa de Santo Espíritu ,en la isla de Cuba</t>
  </si>
  <si>
    <t>Marcel</t>
  </si>
  <si>
    <t>manifestó su satisfacción al director de este museo typográfico, ■ que lo es el ciud. Marcel, miembro de muchas Academias, y de la comisión de ciencias y artes de Egipto. Se ha publicado una obra, que aunque puramente literaria, es una lección de polít</t>
  </si>
  <si>
    <t>Marcelino Pérez, Andrés</t>
  </si>
  <si>
    <t>Andrés Marcelino Pérez</t>
  </si>
  <si>
    <t>tral de la catedral de Mérida de Maracaybo: para la.Ración de la de Popayan, vacante por ascenso de D. Andrés Marcelino Perez á la Magistral de ella, al Medió-Racionero Di Eusebio Ramírez de Arellano; y para esta Media-Ración á D. Francisco Xavier Rodríguez, Vice-Rector y Subdirector del colegio Seminari</t>
  </si>
  <si>
    <t>Marcelino Sánchez Rangel</t>
  </si>
  <si>
    <t>ález Herrero: para la Ración que este obtiene en la misma iglesia de Zamora, y resultará vacante, á D. Marcelino Sánchez Rangel: para el Arciprestazgo de C-ejanza , en el arzobispado de Burgos, vacante por muerte de D. Lorenzo Tabliega, á D. Ramón de Quevedo: para la Dignidad de Capiscol deja colegial de C</t>
  </si>
  <si>
    <t>Márcelo</t>
  </si>
  <si>
    <t>, Sigiienza y Ciudad Real á los Subtenientes de fusileros y granaderos I). Antonio Alcalá Galíano y D. Márcelo, Francisco Dávila, ,y al Teniente reformado D. Dionisio Antelo y Aguilar: la Subtenencia de granaderos en el de Chinchilla al Subteniente de fusileros D. Juan de Dios Carcelen; y</t>
  </si>
  <si>
    <t>Marcelo Porrata</t>
  </si>
  <si>
    <t>os al de fusileros D. Rodrigo de la Rocha; á Capitanes primeros á los segundos I). Manuel Aguiíar y D. Marcelo Porrata , Ayudantes, y D. Pedro Caliani; Ayudantes á los Capitanes segundos D. Joseph de la Concha y D. Cayetano Ribas; á Capitanes segundos á los Tenientes D. Jo-^ seph de Power, de gran</t>
  </si>
  <si>
    <t>Marchal, Francisco Xavier</t>
  </si>
  <si>
    <t>Francisco Xavier Marchal</t>
  </si>
  <si>
    <t>al de fusileros Don •Antonio Grillot, y Subtenencias de fusileros á los Cadetes D. Gerónimo ;Neff y D. Francisco Xavier Marchal. ¡ : ..... En atención, á los méritos y seryiqios de D. Fabián de Fonseca, sé ha dignado el Rey concederle honores de Intendente’de exérejto.; En atención á los dilatados servicio</t>
  </si>
  <si>
    <t>Marchen, Tomás</t>
  </si>
  <si>
    <t>Tomás Marchen</t>
  </si>
  <si>
    <t>lla; para el áb Rioseco, en el obispado de Palencia., vacante por muerte de D. Miguel. Santiago, .á D. Tomas Marchen: para la Media-Ración que obtenía en la catedral de Cuenca D. Pedro Antonio Briz, y ha vacado por su premoción ár una Canongía de la colegial de S. Felipe, en el arzobispado de Va</t>
  </si>
  <si>
    <t>Marcinez, Joseph</t>
  </si>
  <si>
    <t>Joseph Marcinez</t>
  </si>
  <si>
    <t>xpe, D. Joseph de Echeverría* D. Leonardo Garrido; y*para la sexta y ultima plaza al supernumerario D. Joseph Marcinez. En el regimiento de infantería de Mallorca se ha servido promover S. M. á Capitán al Ayudante, graduado de Capitán, D. Jayme Prat* y en el primer batallón de voluntarios de Aragó</t>
  </si>
  <si>
    <t>Marco Aurelio Monti</t>
  </si>
  <si>
    <t>da; y ha promovido en el batallón de Voluntarios de Tarragona á Capitán segundo al Ayudante segundo D. Marco Aurelio Monti: en el de Gerona también á Capitán segundo al Teniente D. Joaquín Cundaro, y á Subteniente de bandera al Cadete D. Francisco Scafin. En América. El Rey se ha servido promover en e</t>
  </si>
  <si>
    <t>Marco y Re, Martín</t>
  </si>
  <si>
    <t>Martín Marco y Re</t>
  </si>
  <si>
    <t>ia de los Sres. del Real y supremo Consejo de la Guerra se cita, llama y emplaza á los herederos de D. Martin Marco y Re yo, Muéstro principal de Real Hacienda , Guerra y Marina que fué de la plaza ce Ceuta,' para que en el término de un mes á ios existentes en este Revno , y de dos y tra los de fuera</t>
  </si>
  <si>
    <t>Marcó, Pedro</t>
  </si>
  <si>
    <t>Pedro Marcó</t>
  </si>
  <si>
    <t>ente D. Antonio Yuste: en el batallón de Voluntarios de Gerona á Capitán primero al Capitán segundo D. Pedro Marcó; y én el batallón de Cazadores de Barbastro á Subteniente al Sargento primero D. Miguel López. El Rey ha promovido á Comisario Ordenador de sus exércitos al de éuerra D. Pearo Gra</t>
  </si>
  <si>
    <t>Mareos Gutiérrez, Joseph</t>
  </si>
  <si>
    <t>Joseph Mareos Gutiérrez</t>
  </si>
  <si>
    <t>. . , ( , Adiciones á la primera y segunda parte del Febrero reformado que publica su autor el Lie. D. Joseph Mareos Gutiérrez. Se contienen en ellas varias doctrinas útiles, las Reales órdenes mas modernas relativas, á los puntos que se tratan , ün crecidoniime.ro de peticiones de las mas necesarias y fr</t>
  </si>
  <si>
    <t>Margarita Caspe</t>
  </si>
  <si>
    <t>a, dando las gracias en nombre de los niños premiados á la Sq— ciedad, y otra á nombre de las niñas Doña Margarita Caspe. Leyó el socio D. Francisco Peyrolon una canción en elogio de la Sociedad, remitida de Barcelona por el socio D. Pedro Pichó: D. Francisco Baamonde una epístola al mismo objeto :</t>
  </si>
  <si>
    <t>Margarita Pastor y María Antonia Martínez Terroba</t>
  </si>
  <si>
    <t>, se confirió á cada uno una onza de plata. __ Se despachó título de socias de mérito á las Señoras Doña Margarita Pastor y Doña María Antonia Martínez Terroba, que presentaron, la primera uno, y la segunda tres quadros de un mérito sobresaliente, que habían dibuxado á presencia del director de escultura de dicha escuela D. Jayme Folch.</t>
  </si>
  <si>
    <t>Mari, Jacinto</t>
  </si>
  <si>
    <t>Jacinto Mari</t>
  </si>
  <si>
    <t>servido nombrar para la Canongía de la catedral de Lérida, vacante por muerte de D. Jayme Garro, á D. Jacinto Mari: para la Dignidad de Chantre de la-colegial de Covarrubias, en la diócesis de</t>
  </si>
  <si>
    <t>Mariano</t>
  </si>
  <si>
    <t>on tan notorias sus ventajas, que á pesar de la estación tan rigorosa, van sus autores y directores D. Mariano y D. Vicente Ti11er y demas comisionados en virtud de Real despacho, y baxo la protección del Soberano y sus tribunales , á ponerlo en execucion por ahora en todo el arzobispado de To</t>
  </si>
  <si>
    <t>Mariano Alonso</t>
  </si>
  <si>
    <t>8} í pomenech ; y para la de Alcalde de su Real casa y corte, que este obtenía y resulta vacante, á D. Mariano Alonso, Oidor de la Chancíliería de Valladolid. Condescendiendo S. M. con la solicitud de D. Antonio Freyre de Cora , Alcalde del crimen de la Audiencia de Extremadura , ha venido en jub</t>
  </si>
  <si>
    <t>Mariano Aymericii</t>
  </si>
  <si>
    <t>oseph Sanche* Grillan, Teniente del regimiento de infantería de la Havana; Tenencia de granaderos á D. Mariano Aymericii, y ía Tenencia veterana que este dexa á D. Miguel Francisco Manzo, Sargento primero veterano del mis: 1110 batallón. Finalmente, ha conferido S. M. en la compañía urbana de milici</t>
  </si>
  <si>
    <t>Mariano Batallas</t>
  </si>
  <si>
    <t>o á Canónigo de ella, i D- Mariano Henri^uez de Guzman, primer Medio-Racionero: para esta resulta á D. Mariano Batallas, Cura de la matriz de S. Luis -de Otavalo, en la misma diócesis i para una Media— Ración de la metropolitana de México, vacante por ascenso de D. Pedro Gómez de la Cortina á la Ca</t>
  </si>
  <si>
    <t>Mariano Bórbon</t>
  </si>
  <si>
    <t>íncipe D. Tomas Aguilera: la del de Granada al del de Voluntarios de Castilla, graduado de Coronel, D. Mariano Bórbon: la dél de España al del mismo cuerpo, graduado de Coronel, D. Joseph Duran: la del de Mallorca ai Teniente Coronel del de Málaga, gradíiado de Coronel, D. Joseph Bermudez de Cast</t>
  </si>
  <si>
    <t>Mariano Breson</t>
  </si>
  <si>
    <t>á los Sargentos mayores D. Joseph García Pa-r redes y D. Tiburcio Francos; á los Capitanes primeros D. Mariano Breson y D. Juan Vcngoa, y al Capitán segundo D. Juan de Osma: a los Mayores de brigada de Ingenieros D. Juan Ordobas y D. Gabriel Moron; á los Capitanes primeros D. Joseph Torras y Pellicer</t>
  </si>
  <si>
    <t>Mariano Cañellas</t>
  </si>
  <si>
    <t>arcini y D. Carlos Montero: en los dei Príncipe, España y Mallorca á los Subtenientes de granaderos D. Mariano Cañellas, D. Joseph Mancha y D. Manuel Virizuela: á Capitán segundo en el batallón de Voluntarios de Valencia al segundo Ayudante D. Antonio Ramón: á Ayudante del regimiento de infantería</t>
  </si>
  <si>
    <t>Mariano Cañestro</t>
  </si>
  <si>
    <t>ranaderos D. Pedro Vázquez : á Tenientes de granaderos en los de Ronda y Córdoba á los de fusileros D. Mariano Cañestro y D. Manuel de Gracia: á Subtenientes de granaderos en los de Avila, Santiago, Ecija y Jaén yá los de fusileros D. Joseph Aquilino Barbachano, D. Ramón Ribadulla, D. Manuel Vázquez y</t>
  </si>
  <si>
    <t>Mariano Cañizares, Francisco</t>
  </si>
  <si>
    <t>Francisco Mariano Cañizares</t>
  </si>
  <si>
    <t>e Coro de la metropolitana de Granada, vacante por fallecimiento de D. Joseph Antonio de Armocha, á D. Francisco Mariano Cañizares, Cura Teniente del Sagrario de aquella catedral: para el JBenchcio de la villa de Molina, en la diócesis de Cartagena., ^vacante por premoción de D. Ramón López Pelegrin á la Dign</t>
  </si>
  <si>
    <t>Mariano Carrillo de Albornoz</t>
  </si>
  <si>
    <t>Felipe del Arco Agüero, D. Joseph Sánchez Tagle, D. Francisco Xaramillo, Don Dionisio López Pinto, D. Mariano Carrillo de Albornoz, D. Francisco Justis ,D. Bernardo Landaburu, D. Diego Rejón de Silva y D. LuisLandaburu : al Cadete de Reales Guardias de infantería Wafona D. Mariano Genaro Sentmanat, á los del</t>
  </si>
  <si>
    <t>Mariano Chacón, Manuel</t>
  </si>
  <si>
    <t>Manuel Mariano Chacón</t>
  </si>
  <si>
    <t>santa iglesia de Ciudad Real de Chiapa, vacante por fallecimiento-de D. Manuel Rafael de Porras, á D. Manuel Mariano Chacón, Rector deí Seminario de dicha ciudad; y para una Media-Ración de la catedral de Santiago de Cuba, vacante por muerte de D. Francisco Antonio Castellanos , á D. Juan Antonio de Ur</t>
  </si>
  <si>
    <t>Mariano Corrales y Luque</t>
  </si>
  <si>
    <t>: para la Doctoral de la de Málaga , vacantepor tallecimiento de D. Francisco de Villaba y Mesa , á D. Mariano Corrales y Luque, Arcediano Titular de la catedral de Guadix : para la Prestamera dé la parroquial de Villavieja, en el obispado de Ciudad-Rodrigo , yacanté por muerte dé D. Prudencio Sanz dé Gata</t>
  </si>
  <si>
    <t>Mariano de Aguilera y Contreras</t>
  </si>
  <si>
    <t>; y para un Beneficio del lugar de las Cabezas, en el arzobispado de Sevilla, vacante por muerte de D. Mariano de Aguilera y Contreras, á D. Gaspar de Aguilera y Contreras. En el regimiento de infantería de la Corona se ha servido S* M. conceder Tenencia al Subteniente de granaderos D. Lázaro Ruiz; y también ha n</t>
  </si>
  <si>
    <t>Mariano de Blaya y Blaya, Manuel</t>
  </si>
  <si>
    <t>Manuel Mariano de Blaya y Blaya</t>
  </si>
  <si>
    <t>encia de México, vacante por promoción de D. Joaquín Mosquera y Figueroa á otra de Oidor de ella, á D. Manuel Mariano de Blaya y Blaya, Fiscal de lo civil de la Audiencia deSanta Fe; y para esta resulta á D. Manuel Martínez Mansilla, Asesor del gobierno de Maracaybo. El dia 9 del corriente mes de Noviembre entró</t>
  </si>
  <si>
    <t>Mariano de Iturriaga y Alzaga, Manuel</t>
  </si>
  <si>
    <t>Manuel Mariano de Iturriaga y Alzaga</t>
  </si>
  <si>
    <t>e Loyola : obra escrita en italiano por el P. Bagnati,de la extinguida Compañía, y traducida por el Dr. Don Manuel Mariano de Iturriaga y Alzaga, Canónigo Doctoral de la catedral de Valladolid de Mechoacan: dos tomos en 8.° mayor en buen papel y letra. Se hallará en las librerías de esta corte. La moral d* Jesuchristo, esc</t>
  </si>
  <si>
    <t>Mariano de Larra</t>
  </si>
  <si>
    <t>ases mefíticos: obra escrita en ingles por Edme Goodwyn , y traducida del francés al castellano por D. Mariano de Larra, Médico de los Reales hospitales General y Pasión de esta corte. Esta obrita presenta ideas no muy vulgares de fisiología y patología, y ofrece aun mayor novedad en la clasificaci</t>
  </si>
  <si>
    <t>Mariano del Amparo Chaves y Villaroel</t>
  </si>
  <si>
    <t>cia de Aragón, Corregidor, Justicia mayor de la ciudad de Toledo y su partido, y á voluntad del Sr. D. Mariano del Amparo Chaves y Villaroel, Mariscal de Castilla, poseedor del mayorazgo que fundó D. Fernando de Ribadeneyra, se venden á pública subasta dos paradas de molinos, con 6 piedras, harineros, en la ribera del</t>
  </si>
  <si>
    <t>Mariano Flernandez</t>
  </si>
  <si>
    <t>primero de granaderos D. Christóbal Alfonso: en el de Murcia Tenencia al Subteniente de granaderos D. Mariano Flernandez; y Subtenencia de bandera al Sargento primero D. Francisco Diez; en el de Irlanda Capellanía al religioso Carmelita descalzo Fr. Pe</t>
  </si>
  <si>
    <t>Mariano Folch</t>
  </si>
  <si>
    <t>de una medalla de onza de oro de peso» á D. Mariano Marín; y por haber trabajado en el mismo asunto D. Mariano Folch con bastante acierto, fué gratificado con ocho onzas de plata.—El mismo de escultura á D. Antonio Criado.__ El tercero de pintura, de una medalla de ocho onzas, á Don Diego de Cue</t>
  </si>
  <si>
    <t>Mariano García de Zamora</t>
  </si>
  <si>
    <t>Dignidad de la catedral de Cartagena, vacante por fallecimiento de D. Miguel de Campos y Salcedo, á D. Mariano García de Zamora: para una Ganongía de la colegial de Alfaro, diócesis de Tarazona, vacante por muerte de D. Pedro Pascasio Martínez de Aldama, á D. Manuel Valdero, Racionero de la misma colegial:</t>
  </si>
  <si>
    <t>Mariano García y Ayala</t>
  </si>
  <si>
    <t>ial de S. Hipólito, de la ciudad de Córdoba, vacante por fallecimiento de D. Joseph Calvo deVida, á D. Mariano García y Ayala, Fiscal eclesiástico de aquel obispado; para la de la catedral de. Salamanca, vacante por muerte1 de D.. Juan Toledano, y por haber fallecido también sin tomar posesión D. Francis</t>
  </si>
  <si>
    <t>Mariano Genaro Sentmanat</t>
  </si>
  <si>
    <t>uru, D. Diego Rejón de Silva y D. LuisLandaburu : al Cadete de Reales Guardias de infantería Wafona D. Mariano Genaro Sentmanat, á los del regimiento de infantería de Buenos-Ay-, res D. Antonio y D. Pedro Romero de Tejada, al del de América D. Domingo de la Iglesia, y al del de caballería de la Reyna, segu</t>
  </si>
  <si>
    <t>Mariano Gil</t>
  </si>
  <si>
    <t>á como de 3 leguas largas. De todos sus linderos y demas circunstancias darán razón en la tienda de D. Mariano Gil, comerciante en la calle de la Montera, casa núm. 38. Se halla vacante la plaza de Médico titular de la villa de Coca y 9 pueblos de su partido, en la provincia de Segovia. Su pob</t>
  </si>
  <si>
    <t>Mariano Gri-I</t>
  </si>
  <si>
    <t>la; y á Subtenientes á los Cadetes D. Manuel Rodrigo, D. Francisco Joseph Celada, D. Martia Galáyn, D. Mariano Gri-I mau y D. Francisco de Paula Somalo,y á ios Sargentos primeros0.Manuel Sánchez, D. Antonio López y D. Juan Xará. Asimismo se ka servido S. M. nombrar para la Alcaldía mayor de Su-*</t>
  </si>
  <si>
    <t>Mariano Lagasca</t>
  </si>
  <si>
    <t>confirmó.á Robinson la noticia de yarios hechos y particularidades que el joven le había referido, D, Mariano Lagasca, alumno del Real jardín botánico, que viaja de Real orden para reconocer los vegetales de nuesíra península, completar la Flora española, y aumentar la colección del mencionado ja</t>
  </si>
  <si>
    <t>ulo diferencial ¿ integral, y en los principios de física experimental. Casi al mismo tiempo en que D. Mariano Lagasca descubrió el JLtchen islandicus en las montañas de Asturias, de que se habló en la gazeta número 60 del 29 de Julio, lo encontró también en las del valle de Aran el Teniente retirado</t>
  </si>
  <si>
    <t>Mariano Luis Montaner</t>
  </si>
  <si>
    <t>Subteniente agregado D. Juan González Martorell: en el de Soria á Subteniente de bandera al Cadete D. Mariano Luis Montaner: en el.de Aragón á Capitán al Ayudante, graduado de Capitán, Don Lorenzo de Sierra, y á Subteniente de bandera al Sargento primero Don</t>
  </si>
  <si>
    <t>Mariano Marín</t>
  </si>
  <si>
    <t>ra á D. Joseph Alameda y Alonso.__ El segundo de pintura , de una medalla de onza de oro de peso» á D. Mariano Marín; y por haber trabajado en el mismo asunto D. Mariano Folch con bastante acierto, fué gratificado con ocho onzas de plata.—El mismo de escultura á D. Antonio Criado.__ El tercero d</t>
  </si>
  <si>
    <t>Mariano Mbllá</t>
  </si>
  <si>
    <t>ayor, D. Julián Martin López y D. Manuel de Hoyos-, y recayó en Hoyos. Se graduó de sobresaliente á D. Mariano Mbllá, á quien no se dió premio por ser pasante de la escuela numeraria del'catedrático, pero se |e concedió certificación de honor, como también á los 16 jóvenes que se presentaron á e</t>
  </si>
  <si>
    <t>Mariano Nifó, Francisco</t>
  </si>
  <si>
    <t>Francisco Mariano Nifó</t>
  </si>
  <si>
    <t>. Compendio de la historia sagrada del antiguo testamento, traducida del francés én castellano por- D. Francisco Mariano Nifó en 5 tomos eij 8.° = Diccionario apostólicp: segunda edición del P. Montargon: 15 tomos en 4.°, que tratan de la moral christlana , misterios de Christo y de la virgen. Se hallarán</t>
  </si>
  <si>
    <t>Mariano Ros y Gols</t>
  </si>
  <si>
    <t>la capilla del castillo de Boltrega, diócesis de Vique, vacante por muerte de D. Benito Gandara, á D. Mariano Ros y Gols: para otro Beneficio , baxo la invocación de Ntra. Sra., llamado de Buira Llivina,de la colegial de S. Juan de las Abadesas, diócesis de Vique, vacante por fallecimiento de D. Ram</t>
  </si>
  <si>
    <t>Mariano Roseiló</t>
  </si>
  <si>
    <t>, Madrid jp de Abril, E \ Rey se ha servido nombrar para una Canongíá de la catedral de Mallorca ,á D. Mariano Roseiló: para otra Ganongía de la catedral de.Roda, diócesis de Lérida , á D. Joseph Ferreripara úna Ración de la parroquiat .de Vervegal, en la misma diócesis, á D. Nicolás .de Urquiza;</t>
  </si>
  <si>
    <t>Mariano Roxo</t>
  </si>
  <si>
    <t>nel, D. Manuel Márquez : las de los de Guadalaxara y Sevilla á ios Capitanes del Inmemorial del Rey D. Mariano Roxo y D. Gregorio del Castillo: la del de Valencia al Capitán del de Cantabria, graduado de Teniente Coronel, D. Manuel de Miedes: la del de Zaragoza al Capitán primero del batallón de Vo</t>
  </si>
  <si>
    <t>Mariano Vázquez</t>
  </si>
  <si>
    <t>Ayudante, con grado de Capitán, D. Antonio Boggiefó; Ayudántíá'al Teniente, graduado de Ca-ipitan, D. Mariano Vázquez, y Subtenencias de bandera* al Sargento priañero D. Justo Martin y ál Cadete D? Rafael del Hoyo :enel de'Guadal -laxara Tenéncia al Subteniente de granaderos Di Antonio'Diez Náv’a</t>
  </si>
  <si>
    <t>Mariano Velez</t>
  </si>
  <si>
    <t>n, D. Manuel Benitez: en el de España á Subteniente de bandera al Teniente dél de milicias de Xerez D. Mariano Velez: en el de Mallorca á Capitanes al Teniente,graduado de Capitán, D. Joseph Fernandez , y ai Ayudante , graduado de Teniente Coronel, D. Manuel Gómez de la Serna; á Tenientes á los</t>
  </si>
  <si>
    <t>Mariano, Antonio</t>
  </si>
  <si>
    <t>Antonio Mariano</t>
  </si>
  <si>
    <t>..........D. Pedro y Juan Esponera. En León............. D. Pedro Gil de Tejada. En Malaga... ...%. D. Antonio Mariano. En Murcia..........Sres. Moreda y Ladalid. , Eti Oviedo............ D. Manuel Rubiano. En Patencia.........D. Nicolás Calonge é hijo. En Palma............D. Martin Mayol. En Pamp</t>
  </si>
  <si>
    <t>.. D. Pedro y D. Juan Esponera. En León.................D. Pedro Gil de Tejada. En Málaga...........D. Antonio Mariano. , En Mahon.............Doña Catalina Guzman y Hugalde. En Murcia............Sres. Moreda y Ladalid. En Oviedo........... D. Manuel Rubiano. En Palencia........ D. Nicolás Calonge</t>
  </si>
  <si>
    <t>Marimon Henriquez, Juan</t>
  </si>
  <si>
    <t>Juan Marimon Henriquez</t>
  </si>
  <si>
    <t>ciaria de la catedralde Cartagena , vacante por ascenso de D. Benito Joseph Lambí á la Tesorería, á D. Juan Marimon Henriquez, Magistral de la catedral de Mérida de Maracaybo: para la.Ración de la de Popayan, vacante por ascenso de D. Andrés Marcelino Perez á la Magistral de ella, al Medió-Racionero Di E</t>
  </si>
  <si>
    <t>Marín Palenzuela, Joseph</t>
  </si>
  <si>
    <t>Joseph Marín Palenzuela</t>
  </si>
  <si>
    <t>a que en el término de 4 meses comparezcan por sí ó sus apoderados, con documentos legítimos , ante D. Joseph Marín Palenzuela, vecino de dicha ciudad de Almería , apoderado testamentario de dicha Doña Antonia, á percibir la parte de herencia que les corresponda; pues pasado dicho término pasará á darle e</t>
  </si>
  <si>
    <t>Marín, Carlos</t>
  </si>
  <si>
    <t>Carlos Marín</t>
  </si>
  <si>
    <t>te: para la de la de Guadix, vacante por promoción de D. Andrés de Amaya al Priorato de la misma, á D. Cárlos Marín: para la de la de S. Hipólito de Córdoba, vacante por fallecimiento de D. Luis Lladosa Fernandez, á D. Joaquín Pastor: para la de la d-e Zamora, vacante por promoción de D. Joaquí</t>
  </si>
  <si>
    <t>Marín, Francisco</t>
  </si>
  <si>
    <t>Francisco Marín</t>
  </si>
  <si>
    <t>de trigo y otras tantas de maíz cada año. Los que quisieren pretender dicha plaza podrán tratar con D. Francisco Marín , mercader de libros en dicho Bilbao. Se halla vacante la escuela de primeras letras de la villa de Dueñas, enTa provincia de Palencia: está dotada del fondo de propios con 250 du</t>
  </si>
  <si>
    <t>Marín, Juan Manuel</t>
  </si>
  <si>
    <t>Juan Manuel Marín</t>
  </si>
  <si>
    <t>Pinedo; á. Ayudante al Teniente D. Tomas Ortega; á Tenientes á los Alféreces D. Francisco Car- cer, D. Juan Manuel Marín, D. Manuel Garayo, D. Joseph Arenas,Don Joaquín Foruer , D. Pedro Alcántara Ruiz y D. Vicente Asco ; á Alféreces á los Portaguiones D. Juan Rondeau , D. Andrés Ordoñez y D. Fran-</t>
  </si>
  <si>
    <t>Marín----- El, Juan Joseph</t>
  </si>
  <si>
    <t>Juan Joseph Marín----- El</t>
  </si>
  <si>
    <t>ir los premios en la forma siguiente: El primero de pintura, de una medalla •de dos onzas de oro, á D. Juan Joseph Marín----- El mismo de escultura á D. Joseph Alameda y Alonso.__ El segundo de pintura , de una medalla de onza de oro de peso» á D. Mariano Marín; y por haber trabajado en el mismo asunto D. M</t>
  </si>
  <si>
    <t>MarinCa, Joseph</t>
  </si>
  <si>
    <t>Joseph MarinCa</t>
  </si>
  <si>
    <t>Mena: para otra Canongía de la colegial del Salvador de la ciudad de Granada, vacante por muerte de D. Joseph MarinCa^ ballero, á D. Miguel Raygon y Díaz, Provisor y Vicario general del obispado de Tarazona: para la Dignidad de Arcipreste de la colegial de Talavera de la Reyna, vacante por promoc</t>
  </si>
  <si>
    <t>Marino de la Barrera, Juan</t>
  </si>
  <si>
    <t>Juan Marino de la Barrera</t>
  </si>
  <si>
    <t>17 de Mayo último fallecí!) en esta corte , á los 65 años, 6 meses y 11 días de edad, el limo. Sr. D. Juan Marino de la Barrera , caballero pensionado de la Real y distinguida orden de Carlos m, Ministro togado del Consejo y Cámara de Castilla. Sirvió á S, M. 33 años , habiendo comenzado su carrera por Alc</t>
  </si>
  <si>
    <t>Marino, Francisco</t>
  </si>
  <si>
    <t>Francisco Marino</t>
  </si>
  <si>
    <t>a servido conceder en el regimiento de infantería de Valencia Tenencia al Subteniente de granaderos D. Francisco Marino; y en el de Irlanda Compañía y Tenencia á los Teniente y Subteniente de granaderos D. Patricio Meckel, graduado de Capitán, y D. Crispin Moya de la Torre. S. M. se ha servido prom</t>
  </si>
  <si>
    <t>Marip, Joaquín</t>
  </si>
  <si>
    <t>Joaquín Marip</t>
  </si>
  <si>
    <t>ronel, D. Ignacio Martínez Vallejo: la del de ía .CpronW al del propio ¿uerpó, graduado de Coronel, D. Joaquín Marip:, la del de. Zamora al del de Toledo, graduado de Coronel, D.'Antonio Darcourt; la del de .Guadalaxara, al del del Príncipe D. Tomas Aguilera: la del de Granada al del de Voluntar</t>
  </si>
  <si>
    <t>Markham, Capitán</t>
  </si>
  <si>
    <t>Capitán Markham</t>
  </si>
  <si>
    <t>e un objeto tan importante.” Finalmente, se hizo la tercera lectura del bilí, y fué adoptado-----El Capitán Markham presentó el informe .sobre el bilí acerca de indagar y corregir varios abusos en él'departamento de la marina. Se pidió que este bilí se examinase de nuevo en otra junta particula</t>
  </si>
  <si>
    <t>itido una corrección en punto al nombramiento de las plazas dé Comisarios, se adoptó el bilí j y el Capitán Markham quedó encargado de llevarle á la Cámara alta. Una carta de Amboyna del 25 de Agosto refiere qué se ha sentido uh violento terremoto en casi todas las islas de Levante, con direcci</t>
  </si>
  <si>
    <t>Marnuel Castillo Negrete</t>
  </si>
  <si>
    <t>nombrar para una plaza-de Alcalde del" Crimen de la Audiencia de México ¿ vacante por promoción de D. Marnuel Castillo Negrete á la Regencia de la de Goatemál'a, á D: Melchor Joseph de Foncerrada, Oidor de la Audiencia de Cuba: para esta plaza á D. Diego Piloña, Fiscal de la de Goatemala: para esta Fiscal</t>
  </si>
  <si>
    <t>Marqqína Galín, Joseph</t>
  </si>
  <si>
    <t>Joseph Marqqína Galín</t>
  </si>
  <si>
    <t>e 15 dias los de cita corte, y de 30 los de fuera, á presentar y legitimar sus créditos ante el Sr. D. Joseph Marqqína Galín¿0 , por la escribanía de provincia de D. Juan Antonio Díaz Noriega : cuya providencia se dió él dia 3 de este mes. EN LA IMPRENTA REAL.</t>
  </si>
  <si>
    <t>Marques de Almeyras</t>
  </si>
  <si>
    <t>ca, Capitán del Real cuerpo de Artillería: para igual empleo.del de Betanzos al Marques de Almeyras, Coronel del tic Mondoñedo: para esta resulta á D. Joseph Manuel de Losada y Quiroga, Teniente Coronel agregado ai de Lugo; y ha conferido Sub</t>
  </si>
  <si>
    <t>Marques de Cerverales</t>
  </si>
  <si>
    <t>as 7 y 8 de Abril de 1802, en que se celebraron los últimos exámenes por el Sr. Marques de Cerverales , Secretario del mismo Real cuerpo , y publicó las listas presentadas por los maestros de las clases de gramática latina y de primeras letras, que están baxo la inmediata dirección de la Socie</t>
  </si>
  <si>
    <t>Marqués y Espejo, Antonio</t>
  </si>
  <si>
    <t>Antonio Marqués y Espejo</t>
  </si>
  <si>
    <t>uquesa de Toscana, para la historia de la virtud en la humilde y alta fortuna : recreo literario de D. Antonio Marqués y Espejo , y obra nueva y original; en un tomo en 8.° en pasta , con una estampa fina. Se hallará en las librerías de Gómez Fuentenebro y de Orea, calles de las Carretas y de la Montera. M</t>
  </si>
  <si>
    <t>on exemplos de los autores mas célebres extrangeros y nacionales: por el Dr. D. Antonio Marqués y Espejo, presbítero, pensionado por S.M. Aunque esta obra se ofrece al público como un ensayo únicamente de este arte tan importante á la sociedad, sobre el qual nada tenemos hasta ahora impreso, no</t>
  </si>
  <si>
    <t>Marques y Mexino, Joseph</t>
  </si>
  <si>
    <t>Joseph Marques y Mexino</t>
  </si>
  <si>
    <t>eniente D. Jacinto Liados: en el segundo batallón de voluntarios de Aragón á Teniente al Subteniene D. Joseph Marques y Mexino; y en el regimiento suizo de Betschart á Teniente al Subteniente de granaderos D. Camilo Tiny. S. M. se ha servido conferir Compañía en el regimiento de cazadores de la Rey na al</t>
  </si>
  <si>
    <t>Márquez, Cayetano</t>
  </si>
  <si>
    <t>Cayetano Márquez</t>
  </si>
  <si>
    <t>ía de la colegial del Sacromonte de Granada, vacante por muerte de D. Antonio de la Oliva y Gago, á D. Cayetano Márquez, Colegial que fuá en el del mismo Sacromonte: para una Media-Ración de la catedral de Málaga, vacante por fallecimiento de D. Joseph Carrillo y Luna, á D. Francisco Rafael de Fsla</t>
  </si>
  <si>
    <t>Márquez, Manuel</t>
  </si>
  <si>
    <t>Manuel Márquez</t>
  </si>
  <si>
    <t>ph Sebastian y Raon: la del de Córdoba al Capitán del de Extremadura, graduado de Teniente Coronel, D. Manuel Márquez : las de los de Guadalaxara y Sevilla á ios Capitanes del Inmemorial del Rey D. Mariano Roxo y D. Gregorio del Castillo: la del de Valencia al Capitán del de Cantabria, graduado d</t>
  </si>
  <si>
    <t>Márquez, Miguel</t>
  </si>
  <si>
    <t>Miguel Márquez</t>
  </si>
  <si>
    <t>as D. Fernando Valdes Incian; y en el batallón de Voluntarios de Valencia á Teniente al Subteniente D. Miguel Márquez.</t>
  </si>
  <si>
    <t>Marquina Galind, Joseph</t>
  </si>
  <si>
    <t>Joseph Marquina Galind</t>
  </si>
  <si>
    <t>acho de. la imprenta Real. De consentimiento de los interesados, y en virtud de providencia del Sr. Don Joseph Marquina Galind.o, del Consejo de S. M., Alcalde de su Real casa y corte, por la escribanía de provincia de D. Manuel Isidro del Campo, se manda sacar á pública subasta un diamante brillante de i</t>
  </si>
  <si>
    <t>Marquina Oalindo, Joseph</t>
  </si>
  <si>
    <t>Joseph Marquina Oalindo</t>
  </si>
  <si>
    <t>, pues sin esta circunstancia no se les dará curso. Por auto provehido el 15 de este mes por el Sr. D. Joseph Marquina Oalindo, del Consejo de S. M., Alcalde decano de su Real casa y corte , se ha mandado sacar á pública subasta por término de 30 dias varias fincas, situadas en el término y jurisdicción d</t>
  </si>
  <si>
    <t>Marquina Qalirido, Joseph</t>
  </si>
  <si>
    <t>Joseph Marquina Qalirido</t>
  </si>
  <si>
    <t>ias.precisos siguientes á este aviso, por sí ó por procurador conocido con suficiente poder, al Sr. D. Joseph Marquina Qalirido, det Consejo de S. M., Alcalde decano de casa y corte , y por el oficio del Escribano de provincia D. Juan Díaz Noriega , á pedir ¡y) exponer ló que ai-derecho de cadauno convenga</t>
  </si>
  <si>
    <t>Marra de Servidon, Domingo</t>
  </si>
  <si>
    <t>Domingo Marra de Servidon</t>
  </si>
  <si>
    <t>ia;, y una demostración honorífica al maestro de escribir D. Joseph Zurita , de las obras del Abate D. Domingo Marra de Servidon. El Vice-Director distribuyó 41 premios de 80 rs. cada uno , y medallas pendientes de collares, á otros tantos jóvenes de ámbos sexos: 12 que dio la Sociedad ,12 el-Excmo. Sr. Arz</t>
  </si>
  <si>
    <t>Marrtiinez, Pedro</t>
  </si>
  <si>
    <t>Pedro Marrtiinez</t>
  </si>
  <si>
    <t>n Escriche: para otra de la catedral de Orense, vacante por promoción de D. Juan García de Aleña, á D. Pedro Marrtiinez: para otra de la colegiata de la villa de Monzon, diócesis de Lérida, vacante por renuncia que ha hecho de ella D. Felipe Cabiedes, á D. Nicolás Gómez Clemente: para el Beneficio</t>
  </si>
  <si>
    <t>Martel, Miguel</t>
  </si>
  <si>
    <t>Miguel Martel</t>
  </si>
  <si>
    <t>uso de los párrocos y oradores por los Dres. en filosofía D. Juan Justo García, presbítero, y el P. D. Miguel Martel, C. R. del gremio y claustro de la universidad de Salamanca. Se hallará el tomo i.° en las. librerías de Fernandez, frente á S. Felipe el Real, y de Calleja , calle de Majaderitos</t>
  </si>
  <si>
    <t>so de los párrocos y oradores, por los Dres. en filosofía D. Juan Justo García, presbítero, y el P. D. Miguel Martel, C. R., del gremio y claustro de la universidad de Salamanca. Se hallará en la librería de Fernandez, frente á S. Felipe el Real, y de Calleja, calle de Majaderitos. El tomo 2 0 y</t>
  </si>
  <si>
    <t>r forma para uso de los párrocos y oradores per los Dres. D. Juan Justo García, presbítero, y el P. D. Miguel Martel, Clérigo reglar, del gremio y claustro de la universidad de Salamanca: para mayor comodidad de los lectores se ha puesto en cada tomo el índice de lo que contiene, excusando por e</t>
  </si>
  <si>
    <t>Martens</t>
  </si>
  <si>
    <t>sus establecimientos, y del aprecio que merecen sus individuos al primer Cónsul, y particularmente Mr. Martens , protector de la universidad. Uannóver 21 de Junio. E 1 Comisario Ordenador en xefe Michaud, ha escrito ayer á la junta de instrucción pública una carta concebida en estos términ</t>
  </si>
  <si>
    <t>Martí, Francisco Xavier</t>
  </si>
  <si>
    <t>Francisco Xavier Martí</t>
  </si>
  <si>
    <t>dicho Andreu; y habiéndose extraviado , se suplica al que sepa de ellos los entregue en Barcelona a D. Francisco Xavier Martí, del comercio de</t>
  </si>
  <si>
    <t>Martia Galáyn</t>
  </si>
  <si>
    <t>ell y D. Joseph Vila; y á Subtenientes á los Cadetes D. Manuel Rodrigo, D. Francisco Joseph Celada, D. Martia Galáyn, D. Mariano Gri-I mau y D. Francisco de Paula Somalo,y á ios Sargentos primeros0.Manuel Sánchez, D. Antonio López y D. Juan Xará. Asimismo se ka servido S. M. nombrar para la Alca</t>
  </si>
  <si>
    <t>Martín, General</t>
  </si>
  <si>
    <t>General Martín</t>
  </si>
  <si>
    <t>por el abogado Roassio, que es de mas de un millón, pero no los legados á la ciudad de León por el General Martin. Madrid 15 de Noviembre. E 1 sábado de la semana anterior, dia del cumpleaños del Rey nuestro Señor, se vistió la corte de gala con uniforme, y hubo besamanos general en el Real s</t>
  </si>
  <si>
    <t>Martinai, Juan</t>
  </si>
  <si>
    <t>Juan Martinai</t>
  </si>
  <si>
    <t>, á 20 rs. en pasta.rzr Tratado metódico de la sagrada Escritura y modo de explicarla: por el R. P. D. Juan Martinai, de la Congregación de S. Mauro: un tomo en 8.°,á 11 rs. en pasta. Se hallarán en la librería de Campo , calle de Alcalá. Compendio de la vida y virtudes de ia-Beafta María Ana de</t>
  </si>
  <si>
    <t>Martinengo, Rafael</t>
  </si>
  <si>
    <t>Rafael Martinengo</t>
  </si>
  <si>
    <t>roel; á D. Rafael Martinengo, Coronel del regimiento de infantería de Navarra; D. Juan Nepomuceno Bernuy, Sargento mayor de la brigada de Carabineros; D. Diego Ballesteros, Capitán del mismo cuerpo, y D.T orn</t>
  </si>
  <si>
    <t>Martínez Coronado, Pedro</t>
  </si>
  <si>
    <t>Pedro Martínez Coronado</t>
  </si>
  <si>
    <t>Jaén, Ronda, Granada y Laredo á Don Francisco Joseph Galindo, D. Cayetano Clavero González Hidalgo, D. Pedro Martínez Coronado y D. Juan Joseph de Espina y Escorza. El dia 17 de Diciembre último arribó al puerto de Lisboa el bergantín correo de la Real armada nombrado S. Antonio, procedente de lá Havana , de</t>
  </si>
  <si>
    <t>Martínez de Aldunate, Joseph Antonio</t>
  </si>
  <si>
    <t>Joseph Antonio Martínez de Aldunate</t>
  </si>
  <si>
    <t>ara el Obispado de Guamanga , vacante por fallecimiento de D. Francisco Matienzo Bravo de Ribero, á D. Joseph Antonio Martínez de Aldunate , Dean de la catedral de Chile. El Rey se ha servido conceder el empleo de Sargento mayor del re-i gimiento de infantería fixo de Cartagena al Coronel B. Joseph Alvarez; Sargento</t>
  </si>
  <si>
    <t>Martinez de Aparicio, Andrés</t>
  </si>
  <si>
    <t>Andrés Martinez de Aparicio</t>
  </si>
  <si>
    <t>anuel Ramiro y Martin. En Sevilla............D. Joseph Antonio Gómez é hijo. En Soria.............. D. Andrés Martinez de Aparicio. En Toledo............ Sres. Chavarri y Posadillo. En Toro............ D. Joseph Ligero. En Valencia....... D. Francisco Peyrolon y compañía* En Valladolid...... D. Francisco Dura</t>
  </si>
  <si>
    <t>Martínez de Aparicio, Andrés</t>
  </si>
  <si>
    <t>Andrés Martínez de Aparicio</t>
  </si>
  <si>
    <t>nuel Ramiro y Martin. En Sevilla......... . D. Joseph Antonio Gómez é hijo. En Soria........ .......D. Andrés Martínez de Aparicio. En Toledo.............Sres. Chavarri y Posadillo, En Toro................. D. Joseph Ligero. En Valencia....... ;. D. Francisco Peyrolon y compañía. EnValladolid...... D. Francis</t>
  </si>
  <si>
    <t>Ramiro y Martin. En Sevilla.............. D. Joseph Antonio Gómez é hijo. En Soria................ D. Andrés Martínez de Aparicio. En Toledo............... Sres. Chavarri y Posadillo. En Toro...................D. Joseph Ligero. En Valencia......... D. Francisco Peyrolon y compañía. EnValladolid. D. Francisco</t>
  </si>
  <si>
    <t>Martínez de Cuellar, Juan</t>
  </si>
  <si>
    <t>Juan Martínez de Cuellar</t>
  </si>
  <si>
    <t>eltos á 4I rs. Desengaño del hombre en el tribunal de la fortuna y casa de descontentos, ideado por D. Juan Martínez de Cuellar; libro de mucha instrucción á los que leen la historia: un tomo en 8.° Se halLará.en la librería de Castillo. Las églogas y geórgicas de Virgilio, rimas., y el Pompeyo, tragedia :</t>
  </si>
  <si>
    <t>Martínez de Galinsoga, Francisco</t>
  </si>
  <si>
    <t>Francisco Martínez de Galinsoga</t>
  </si>
  <si>
    <t>Para las plazas del Crimen de ella á D. Lucas Iliscio Fernandez, D. Francisco Fernandez dej Pino y D. Francisco Martínez de Galinsoga.” ,,Para la Fiscalía de Ja Audiencia de Canárias , vacante por separación de D. Joseph María Zuaznavar, nombro á D. Juan Ramón Oses: para la plaza de Ministro que resulta vacante</t>
  </si>
  <si>
    <t>Martínez de Irujo, Carlos</t>
  </si>
  <si>
    <t>Carlos Martínez de Irujo</t>
  </si>
  <si>
    <t>a y López. En atención al mérito, circunstancias y distinguidos servicios deDoi Carlos Martínez de Irujo , Ministro «plenipotenciario y Enviado extraordinario cerca de los Estados-Unidos de América , se ha dignado S. M. hacerle merced de título de Castilla para sí, sus hijos y sucesores, con la</t>
  </si>
  <si>
    <t>Martínez de Mazas, Joseph</t>
  </si>
  <si>
    <t>Joseph Martínez de Mazas</t>
  </si>
  <si>
    <t>tas considérales expensas D. Fernando María de Valenzuela Prado, Director de este cuerpo económico, D. Joseph Martínez de Mazas, Dean de esta santa Iglesia, D. Joseph Gómez, Arcediano de Jaén, D. Fernando de Aranda» Maestrante, y el esmero del mismo Secretario , que ha hecho presentes los ensayos de las ex</t>
  </si>
  <si>
    <t>Martínez de Tejada, Félix</t>
  </si>
  <si>
    <t>Félix Martínez de Tejada</t>
  </si>
  <si>
    <t>, 224979 y 233103. Habiéndose extraviado, se suplica á quien sepa de ellos que dé razón en Madrid á D. Félix Martínez de Tejada, que vive en la calle Mayor inmediato ai Conde de Olíate , y en Málaga á D. Joseph Camón. A conseqüencia de los Reales decretos se está subastando una casa, sita en la calle de St</t>
  </si>
  <si>
    <t>Martínez de Villcla, Ignacio</t>
  </si>
  <si>
    <t>Ignacio Martínez de Villcla</t>
  </si>
  <si>
    <t>Gregorio de Santa Cruz, 7 en Logroño al referido D. Domingo de Santa Cruz. Por providencia del Sr. D. Ignacio Martínez de Villcla, del Consejo de S. M.» su Alcalde de casa 7 corte, de 28 de Marzo de este año, 7 escribanía de provincia de D. Juan Antonio Díaz Noriega, se han mandado sacar á pública subasta po</t>
  </si>
  <si>
    <t>Martínez de Villela, Ignacio</t>
  </si>
  <si>
    <t>Ignacio Martínez de Villela</t>
  </si>
  <si>
    <t>. Magín de Galli, Guardia de Corps de la Real Compañía Americana. ■' 1 Por auto nroveido por el Sr. D. Ignacio Martínez de Villela, del Consejo de S. M., Alcalde de la Real casa y corte, Juez que conoce de los autos de la testa</t>
  </si>
  <si>
    <t>Martínez de Viólela, Ignacio</t>
  </si>
  <si>
    <t>Ignacio Martínez de Viólela</t>
  </si>
  <si>
    <t>s en término de la villa del Viso, tascados en 999 2-| rs., que se remataron por el juzgado dei Sr. D. Ignacio Martínez de Viólela , del Consejo de S. M. , su Alcalde cíe casa y corte , en las dos terceras partes de sutasación , cuyo término cumplirá en 23 del presente mes de Enero. Quien quisiere hacer dicha</t>
  </si>
  <si>
    <t>Martínez Escribano, Sebastián</t>
  </si>
  <si>
    <t>Sebastián Martínez Escribano</t>
  </si>
  <si>
    <t>biendo nombrado también S. M. Capellán del primer batallón del de infantería de Soria al presbítero D. Sebastian Martínez Escribano. Asimismo se ha servido el Rey conceder Subtenencias de bandera en los regimientos de infantería de Zamora, V'alencia, Mallorca, Navaiia, Granaderos Voluntarios de Estado y Volúnt</t>
  </si>
  <si>
    <t>Martínez Henao, Joseph</t>
  </si>
  <si>
    <t>Joseph Martínez Henao</t>
  </si>
  <si>
    <t>s de los de Córdoba, Truxillo y Cuenca , á los Subtenientes de fusileros í&gt;. I rancisco Valdelomar, D. Joseph Martínez Henao y D. Pedro Alaiñanzon; y las Subtenencias de bandera de los de Jaén, Sigüenza s León, Ciudad-Rodrigo, Lugo, Ciudad-Real y Chinchilla, á D. Fernando Troyano y Torrubia , D. Isidro Alva</t>
  </si>
  <si>
    <t>Martínez Malo, Manuel</t>
  </si>
  <si>
    <t>Manuel Martínez Malo</t>
  </si>
  <si>
    <t>Manuel García y Don Alexo Alarcon, y para la Subtenencia de granaderos al Subteniente de fusileros D. Manuel Martínez Malo. También ha promovido S. M. en el regimiento de infantería de la Luisiana á Capitanes á ios Tenientes D. Pedro Larronde, D. Martin Palao, D. Gerónimo Yebenes, D. Juan Delassise y</t>
  </si>
  <si>
    <t>Martínez Mansilla, Manuel</t>
  </si>
  <si>
    <t>Manuel Martínez Mansilla</t>
  </si>
  <si>
    <t>nuel Mariano de Blaya y Blaya, Fiscal de lo civil de la Audiencia deSanta Fe; y para esta resulta á D. Manuel Martínez Mansilla, Asesor del gobierno de Maracaybo. El dia 9 del corriente mes de Noviembre entró en el puerto del Ferrol la corbeta de la Real armada nombrada el Mercurio, procedente de Montevide</t>
  </si>
  <si>
    <t>Martínez Marina, Francisco</t>
  </si>
  <si>
    <t>Francisco Martínez Marina</t>
  </si>
  <si>
    <t>as de la lengua griega y de los idiomas orientales, pero introducidas en España por los árabes: por D. Francisco Martínez Marina, Canónigo de la Real iglesia de S. Isidro, actual Director de la Academia. Véndese en la Real panadería , casa de la Academia. Targetas finas acartonadas, Mancas y negras á 2 rs.</t>
  </si>
  <si>
    <t>Martínez Sahzar, Antonio</t>
  </si>
  <si>
    <t>Antonio Martínez Sahzar</t>
  </si>
  <si>
    <t>inclusión de varios instrumentos y advertencias á Procuradores, Escribanos y Alguaciles:escrita por D. Antonio Martínez Sahzar, Escribano de Cámara del Real y supremo Consejo de Castilla : va inserto el arancel nuevamente aprobado por el Real y supremo Consejo, y que deben observar por ahora los Escríbano</t>
  </si>
  <si>
    <t>Martínez Vallejo, Ignacio</t>
  </si>
  <si>
    <t>Ignacio Martínez Vallejo</t>
  </si>
  <si>
    <t>uientes : la del de Saboya al Comandante, del. tercér batallón del de Borhon^ gfaduadovjdf Coronel, D. Ignacio Martínez Vallejo: la del de ía .CpronW al del propio ¿uerpó, graduado de Coronel, D. Joaquín Marip:, la del de. Zamora al del de Toledo, graduado de Coronel, D.'Antonio Darcourt; la del de .Guadal</t>
  </si>
  <si>
    <t>Martínez y Unamanzaga, Joseph</t>
  </si>
  <si>
    <t>Joseph Martínez y Unamanzaga</t>
  </si>
  <si>
    <t>la pragmática de 28 de Abril último. Se hallará á 4 quartos en el despacho de .la imprenta Real. A D. Joseph Martínez y Unamanzaga¿ del comercio de Cádiz, se le ha extra</t>
  </si>
  <si>
    <t>Martínez, Ángel</t>
  </si>
  <si>
    <t>Ángel Martínez</t>
  </si>
  <si>
    <t>ndo Subteniente en el fixo de Ceuta al primer Teniente de granaderos D. Manuel Ordoñez, y al Cadete D. Angel Martínez ; y á Subtenientes en el regimiento de infantería Suizo de Bestschart á los Cadetes D. Joseph Gabuzio y D. Justo Mohr. Por el Ministerio de Hacienda se ha comunicado con fecha de</t>
  </si>
  <si>
    <t>Martínez, Antonio</t>
  </si>
  <si>
    <t>Antonio Martínez</t>
  </si>
  <si>
    <t>anes de los de Sigiienza y Córdoba á los Tenientes de fusileros y granaderos de los propios cuerpos D. Antonio Martínez y D. Rafael Saravia: á Teniente de granaderos del de Granada al de fusileros D. Joseph del Pulgar y Pulgar: á Tenientes de los de Santiago y Chinchilla á D. Benito de Ponte y D. Sebas</t>
  </si>
  <si>
    <t>Martínez, Bartolomé</t>
  </si>
  <si>
    <t>Bartolomé Martínez</t>
  </si>
  <si>
    <t>711 Se desea saber sí existe Bartolomé Martínez, hijo de Eugenio y de Antonia Vidal, natural de Valencia; y sí hubiese fallecido, en qué parroquia está enterrado. Quien tenga noticia de ello dará aviso á Francisco Xavier Navarro en d</t>
  </si>
  <si>
    <t>Martínez, Fernando</t>
  </si>
  <si>
    <t>Fernando Martínez</t>
  </si>
  <si>
    <t>e Alcázar de S. Juan á D. Tomas Cano , Capitán del de infantería de la Corona: en el de Mondoñedo á D. Fernando Martínez, Capitán del inmemorial del Rey: en el de Avila al Teniente Coronel D. Felipe Muñoz, Ayudante, del provincial de Burgos: en el de Segovia al Teniente Coronel D. Joaquín Barbaza, C</t>
  </si>
  <si>
    <t>Esteban Liñan, D. Antonio Grijoa y D. Gabriel Gascón; á Tenientes á lo» Subtenientes de granaderos D. Fernando Martínez y D. Pascual Agustín Martínez, y á los de fusileros D. Joseph María Mendez, D. Nicolás de Vedia, D. Joseph Fran</t>
  </si>
  <si>
    <t>Martínez, Francisco</t>
  </si>
  <si>
    <t>Francisco Martínez</t>
  </si>
  <si>
    <t>García y ai Cadete D. Juan Clausells:cn el de Burgos á Ayudante al Teniente , graduado de Capitán, D. Francisco Martínez , y á Teniente al Subteniente de granaderos Don Alfonso María Ximenez : en el primer batallón dé voluntarios de Ara</t>
  </si>
  <si>
    <t>Martínez, Ignacio</t>
  </si>
  <si>
    <t>Ignacio Martínez</t>
  </si>
  <si>
    <t>ntaría de la Excma. Sra. Marquesa de Malpica, Duquesa viuda de Medinaceli, se ha mandado por el Sr. D, Ignacio Martínez deVillela, del Consejo de S.M. en el supremo de Guerra, y Juez comisionado en virtud de Reales órdenes para conocer de la expresada testamentaría , én auto de 1 2 del presente mes de</t>
  </si>
  <si>
    <t>Martínez, Ignacio Antonio</t>
  </si>
  <si>
    <t>Ignacio Antonio Martínez</t>
  </si>
  <si>
    <t>nte los Sres. de la sala primera de Alcaldes de corte , y por la escribanía de cámara y gobierno de D. Ignacio Antonio Martínez, en donde se les oirá y administrara justicia; con apercibimiento que pasado dicho término se procederá á lo que corresponda, y les parará el perjuicio que haya lugar, siendo resp</t>
  </si>
  <si>
    <t>tonio de Miranda,1 del Consejo de S. M; en el Real4é las Ordenes, comisionado por S. M., y por ante D. Ignacio Antonio Martínez, Escribano de Cámara del Rey Ntro. Sr. mas antiguo y de gobierno de la Sala de Sres. Alcaldes de su Real casa y corte. Quien quisiere hacer postura á una casa sita en la calle de</t>
  </si>
  <si>
    <t>Martínez, Joaquín</t>
  </si>
  <si>
    <t>Joaquín Martínez</t>
  </si>
  <si>
    <t>mover en el regimiento de infantería fixo de Ceuta ;á segundo Teniente al Subteniente de granaderos D. Joaquín Martínez: en el Suizo ambulante de Ruttiman á Teniente al Subteniente D. Antonio Haiiegg; y á Capitán segundo en el de Yann, vacante, al Teniente de granaderos D. Domingo Tries. El Sr. pri</t>
  </si>
  <si>
    <t>Martínez, Pédro</t>
  </si>
  <si>
    <t>Pédro Martínez</t>
  </si>
  <si>
    <t>Ayudante en los regimientos provinciales de Xeon, Guadix y Bu jal anee á D. Joseph Antonio Zapino, D. Pédro Martínez y D. Bartolomé Obeso y Cevallos, Tenientes, ei primero dé granaderos, de los de infantería de línea dé Extremadura, Inmemorial del Rey y Burgos. , j . S.M/ se ha servido conferir el G</t>
  </si>
  <si>
    <t>Martínez, Romualdo</t>
  </si>
  <si>
    <t>Romualdo Martínez</t>
  </si>
  <si>
    <t>ego "Norzagaray, D. Fausto Araga y D. Juan Demarch , sorteándose otro entre D.-Joseph María Codes y D. Romualdo Martínez, habiendo tocado al primero. Se mandó dar certificación de distinción á D. Domingo Xaramillo, repartiéndose otras igualmente á los demás, quedando el concurso satisfecho de la apl</t>
  </si>
  <si>
    <t>Martínez, Vicente</t>
  </si>
  <si>
    <t>Vicente Martínez</t>
  </si>
  <si>
    <t>rancisco Cabrera, D. Luis Padilla, D. Xavier Elio, D. Juan Chrisóstomo Trelles ,.D. Cárlos Montero, D. Vicente Martínez, D. Pedro Grimarest, D. Alonso Valdes y D. Alexandro Ojea, Sargentos mayores de los de España , Navarra , Princesa, batallón de Voluntarios de Valencia, Mallorca, Sevilla, Saboya,</t>
  </si>
  <si>
    <t>que no subscribieron no se les dará un torno sin otro. Tratado histórlco-práctíco de la vacuna, por D. Vicente Martínez 8cc. De senbese en él la vacuna casual , se habla de su origen y progresos, de las propiedades que la caracterizan y distinguen de la vacuna falsa, de los accidentes particulares</t>
  </si>
  <si>
    <t>MartinFaxardo, Antonio</t>
  </si>
  <si>
    <t>Antonio MartinFaxardo</t>
  </si>
  <si>
    <t>o acan y y para otra de la del Nuevo Reyno de Leen , vacante |or renuncia de D- Agustin Madrigal, á D. Antonio MartinFaxardo, Tenamte de Cura de la villa de Hincha, diócesis de Sto. Domingo. Asimismo se ha servido S. M« nombrar para upa plaza de Agente del número de Indias,, vacante por muerte de D. Die</t>
  </si>
  <si>
    <t>MartinjyíarPn</t>
  </si>
  <si>
    <t>z: en el de Málaga el empleo de. Ayudante.al Teniente de granaderos, graduado de Teniente Coronal,, D. MartinjyíarPn^ : la Comandancia del tercer batallón del de Saboya al Sargento mayor del de Asturias, graduado de Teniente Coronel, D. Bruno Barreta; y jen,el segundo batallón de infantería lige</t>
  </si>
  <si>
    <t>Marty, Juan Ramón</t>
  </si>
  <si>
    <t>Juan Ramón Marty</t>
  </si>
  <si>
    <t>amora D. Pedro Cortes: ía del de Zamora al Capitán del propio cuerpo, graduado de Teniente Coronel, D. Juan Ramón Marty: la del de Soria al Capitán del de León D. Joseph Sebastian y Raon: la del de Córdoba al Capitán del de Extremadura, graduado de Teniente Coronel, D. Manuel Márquez : las de los d</t>
  </si>
  <si>
    <t>Marzo, Pedro Pablo</t>
  </si>
  <si>
    <t>Pedro Pablo Marzo</t>
  </si>
  <si>
    <t>para el Priorato de Moyay debe decir Meyá; y en el Beneficio dé la parroquial de Liria, debe decir D. Pedro Pablo Marzo en lugar de Mazo. Ante el Corregidor y Alcalde mayor interino de .la ciudad de Zamora , y escribanía que exerce D.iVicente Lajuente de Velasco , se esta entendiendo en las diligenci</t>
  </si>
  <si>
    <t>Mas y Gabaldá, Juan</t>
  </si>
  <si>
    <t>Juan Mas y Gabaldá</t>
  </si>
  <si>
    <t>Biul: para otro de la villa de Valls, diócesis de Tarragona, vacante por muerte de D. Juan Miró, á D. Juan Mas y Gabaldá; y para otro de la parroquia de Sarreal, en la misma diócesis de Tarragona, vacante por .fallecimiento de D. Agustín Borras, á D. Juan Padreny. S. M. se ha servido nombrar paramun</t>
  </si>
  <si>
    <t>Mas, Juan</t>
  </si>
  <si>
    <t>Juan Mas</t>
  </si>
  <si>
    <t>gar de Palacios de Goda, en la diócesis de Avila, vacante por fallecimiento de D. Manuel Torreño, á D. Juan Mas, con la obligación de residirlo por sí mismo: para el Préstamo del lugar de Mcronta, en la diócesis de Salamanca, vacante por muerte de D. Bruno López, y las dos Medias-Prestamera</t>
  </si>
  <si>
    <t>iglesia, á D. Rafael Roca: para otro de la expresada parroquia de Alcober, vacante por promoción de D. Juan Mas á un Beneficio de la villa de Valls, en la misma diócesis, á I). Salvador Puigdevall: para otro de la parroquia de Agramunt, en la diócesis de; Urgel, vacante por promoción de D.</t>
  </si>
  <si>
    <t>Masdemos, Francisco</t>
  </si>
  <si>
    <t>Francisco Masdemos</t>
  </si>
  <si>
    <t>n de S. Lucas y S. Blas, vacante por fallecimiento de D. Andrés Estebanell, y por renuncia que hizo D. Francisco Masdemos, á D. Luciano Alaball. S. M. se ha servido nombrar para una plaza de Alcalde del crimen de la Chancillería de Granada , vacante por promoción de D. JosephMorillas y Navarrete á Oi</t>
  </si>
  <si>
    <t>Masdevall, Joseph</t>
  </si>
  <si>
    <t>Joseph Masdevall</t>
  </si>
  <si>
    <t>regimientos y partidos, con el método feliz, pronto y seguro de curar semejantes enfermedades : por D. Joseph Masdevall, Medico del Rey Ntro. Sr. Se hallará á 6§ rs, en el despacho de la imprenta Real. Con fecha de 14 de Octubre de este año remitió D. Matías de Mendiburu, del comercio de Cádiz, end</t>
  </si>
  <si>
    <t>Masuelo, Francisco Xavier</t>
  </si>
  <si>
    <t>Francisco Xavier Masuelo</t>
  </si>
  <si>
    <t>a , á D. Nicolás de Turnes: para la Media-Ración, que se halla vacante en la catedral de Córdoba, á D. Francisco Xavier Masuelo: para el Beneficio titulado Ración de la Plinojosa, en el obispado de Ciudad-Rodrigo, vacante por fallecimiento de D. Francisco Asensio, á D. Juan Luis Hernández; y para una de la</t>
  </si>
  <si>
    <t>Matas y Prats, Joseph</t>
  </si>
  <si>
    <t>Joseph Matas y Prats</t>
  </si>
  <si>
    <t>a catedral de Lérida á D. Alberto Blanc; y para otro de la parroquia de Olot, diócesis de Gerona, á D. Joseph Matas y Prats. El Rey se ha servido~conferir én el regimiento de infantería de Sevilla •Subtenencia de bandera al Cadete D. Manuel Rodríguez Abellan: en el de Toledo Compañía al caballero Page</t>
  </si>
  <si>
    <t>Mateos, Antonio</t>
  </si>
  <si>
    <t>Antonio Mateos</t>
  </si>
  <si>
    <t>ayor de la de Málaga: para el del castillo de la Puebla de Guzman al Capitán D. Antonio Mateos, Teniente del regimiento de infantería de Málaga. El Consejo, á consulta de la Comisión gubernativa de Consolidación de Vales, y con aprobación de S. M., ha acordado la quinquagesimaquinta</t>
  </si>
  <si>
    <t>Matienzo Bravo de Ribero, Francisco</t>
  </si>
  <si>
    <t>Francisco Matienzo Bravo de Ribero</t>
  </si>
  <si>
    <t>América, El Rey7 se ha servido nombrar para el Obispado de Guamanga , vacante por fallecimiento de D. Francisco Matienzo Bravo de Ribero, á D. Joseph Antonio Martínez de Aldunate , Dean de la catedral de Chile. El Rey se ha servido conceder el empleo de Sargento mayor del re-i gimiento de infantería fixo de Cartage</t>
  </si>
  <si>
    <t>Mato, Ramón</t>
  </si>
  <si>
    <t>Ramón Mato</t>
  </si>
  <si>
    <t>e Guadramiro, en la diócesis de Salamanca, vacante por fallecimiento de D. Bruno López de Urbina, á D. Ramón Mato, con las carga* que tiene anexas: para la Prestamerá de Pareja y la de Buendia, vacantes en la diócesis de Cuenca por íenuncia de D. Manuel Resales, á, D. Isidro Bernal . Capellán</t>
  </si>
  <si>
    <t>Matoneen, Manuel</t>
  </si>
  <si>
    <t>Manuel Matoneen</t>
  </si>
  <si>
    <t>ero D, Juan Manuel Joba: en el de Navarra Compañía ai Teniente de.granaderos, graduado de Capitán., D. Manuel Matoneen el de Ultonia Compañía ai.Ayudante, graduado de Capitán, D. Juan de Meglioriny: en el de voluntarios de la Corona Tenencias á los Subtenientes D, Juan Arsac y D. Mariano Castelt en</t>
  </si>
  <si>
    <t>Maturana, Vicente María</t>
  </si>
  <si>
    <t>Vicente María Maturana</t>
  </si>
  <si>
    <t>l Real cuerpo de Artillería se na servido el Rey nombrar Coronel del tercer regimiento al Brigadier D. Vicente María Maturana, Coronel supernumerario del propio cuerpo: habiendo también S. M. promovido á Tenientes Coroneles al Sargento mayor D. Joseph Tortosa y al</t>
  </si>
  <si>
    <t>Mauricio Fornell</t>
  </si>
  <si>
    <t>t Carvájo.y D. Joaquín de Vrana; á Subtenientes de granaderos á los de fusileros D. Joseph Vergaña, D. Mauricio Fornell y D. Joseph Vila; y á Subtenientes á los Cadetes D. Manuel Rodrigo, D. Francisco Joseph Celada, D. Martia Galáyn, D. Mariano Gri-I mau y D. Francisco de Paula Somalo,y á ios Sargentos</t>
  </si>
  <si>
    <t>Mauricio Gard</t>
  </si>
  <si>
    <t>s D. Joseph Kayser, de granaderos, y D. Baltasar Zeberg; y á Subteniente en el de Cour^en al Cadete D. Mauricio Gard. En el Real cuerpo de Artillería se ha dignado S. M. promover á Teniente,Coronel al Xefe de brigada D. Juan Calvo de la Cantera ; á Xéfe de brigada al Capitán primero D. Andrés de</t>
  </si>
  <si>
    <t>Mauricio, Príncipe</t>
  </si>
  <si>
    <t>Príncipe Mauricio</t>
  </si>
  <si>
    <t>s de manos de S. S., con las formalidades ordinarias, el capelo de Cardenal. Se hallaba presente el Príncipe Mauricio, hermano del Rey de Cerdeña, y un numeroso concurso de nobleza nacional y extrangera. Después de esta ceremonia ha visitado el Sto. Padre, según costumbre, la basílica del Vatican</t>
  </si>
  <si>
    <t>Max</t>
  </si>
  <si>
    <t>te Merino, ya difunta, vecina que fué de la ciudad de Almería, dexó entre otros por sus herederos á Doña Max! mi liana Muñoz y Huete, su sobrina, y á un hijo de su sobrino D. Nicolás Muñoz y Huete , cuyo nombre ig«oraba la testadora; pero sí sabia que estaba en Indias: y no teniéndose no</t>
  </si>
  <si>
    <t>Maxechal, Pedro</t>
  </si>
  <si>
    <t>Pedro Maxechal</t>
  </si>
  <si>
    <t>has composturas que provienen de no saberlos manejar y tratar como en él se explica : compuesto por D. Pedro Maxechal, artífice reloxero en esta corte. Se hallará á 2 rs. en las librerías de Ramos y Dávila, calle de las Carretas y carrera.de S. Gerónimo, en el puesto del diario, plazuela de Sto.</t>
  </si>
  <si>
    <t>Maximiliano Coronel</t>
  </si>
  <si>
    <t>de D. Pedro Gómez de Medina, al Maestrescuela D: Miguel de Unda: para la Maestrescclía al Tesorero D. Maximiliano Coronel: para la Tesorería al Canónigo D. Joaquih de Sotomayor: para esta Canongía á 'D. Lázáro Sevillano, Racionero mas antiguo de laj&gt;ropia iglesia : para una Media-Ración, vacante por</t>
  </si>
  <si>
    <t>Maximiliano, Archiduque</t>
  </si>
  <si>
    <t>Archiduque Maximiliano</t>
  </si>
  <si>
    <t>económicas , fondos del cuerpo, impuestos para sostenerlo'&amp;c. ' ‘ Viena _9 cíe Marzo. S . A. R. el Archiduque Maximiliano ha sido recibido el 7 caballero de la orden leu tónica , presidiendo el capítulo S. A. R. el Archiduque Cárlos como su Gran Maestre. Asistieron-los augustos padres del nuevo cabal</t>
  </si>
  <si>
    <t>celebró en esta ciudad el capítulo de la órden Teutónica , en el qual se le confirió á S. A. R. el Archiduque Maximiliano,'hijo menor del Archiduque Fernando , el bayliage de Franconia, cuya capital es Ellingen. Este bayliage renta anualmente 50® florines. Se asegura que se ha destinado el,gobierno d</t>
  </si>
  <si>
    <t>May</t>
  </si>
  <si>
    <t>del'método curativo de las enfermedades crónicas, y acerca del método de los convalecientes: por el Dr. May, del Palatinado. Se hallará con los dos anteriores en la librería de Castillo, y en la de la viuda de Cerro, red de S. Luis: su precio 14 rs. en rústica. Colección dé las obras de</t>
  </si>
  <si>
    <t>Mayeuil de Borredon</t>
  </si>
  <si>
    <t>or Salazar: en el de Ilibernia á D. Bernardo Alvarez; y en el de Borbon á D. Francisco La Coste y á D. Mayeuil de Borredon, todos Subtenientes de granaderos de los mismos cuerpos; y á Subteniente de bandera en el de Burgos al Cadete D. Antonio de Ramos. - • Asimismo se ha servido S. M. conferir Subten</t>
  </si>
  <si>
    <t>Mayol, Martín</t>
  </si>
  <si>
    <t>Martín Mayol</t>
  </si>
  <si>
    <t>o............ D. Manuel Rubiano. En Patencia.........D. Nicolás Calonge é hijo. En Palma............D. Martin Mayol. En Pamplona.......Sres. viuda de Barbería é hijo. En Salamanca..... Sres. Urrero y Casaseca. En Santander...... Sres. Vial é hijo y compañía. En Segovia........... Viuda de D. Jo</t>
  </si>
  <si>
    <t>........... D. Manuel Rubiano. En Palencia........ D. Nicolás Calonge é hijo. En Palma...... ...... D. Martin Mayol. En Pamplona....... Sres. viuda de Barbería é hijos. En Salamanca......Sres. Urrero y Casaseca. En Santander....... Sres. Vial é nijo y compañía. En Segovia............Viuda de D.</t>
  </si>
  <si>
    <t>......... D. Manuel Rubiano. En Palenda.......... D. Nicolás Caionge é hijo. En Palma.............. D. Martin Mayol. \ En Pamplona........ Sres. viuda de Barbería é hijos. En Salamanca...... Sres. Urrero y Casaseca. En Santander........Sres. Vial é hijo y compañía. En Segovia............. Viuda</t>
  </si>
  <si>
    <t>Mayor, Tomás María</t>
  </si>
  <si>
    <t>Tomás María Mayor</t>
  </si>
  <si>
    <t>Beneficio de la parroquia de Santa María del Burgo de la ciudad de Alfaro, vacante por promoción de D. Tomas María Mayor á una Ración de aquella colegial, á D. Fernando María Segura. S. M. se ha servido promover á Teniente Coronel del regimiento de infantería de Ultonia á D. Carlos Fitzgerald, Coman</t>
  </si>
  <si>
    <t>Mayoral, Joaquín</t>
  </si>
  <si>
    <t>Joaquín Mayoral</t>
  </si>
  <si>
    <t>lde mayor dé Alméndratejo á D. Francisco de Castro Valpuesta; y para la de la ciudad de Santander ¿ Don Joaquín Mayoral. , v { En América. En el regimiento de infantería fixo de Cartagena de In* dias se ha dignado el Rey promover á Capitán al Teniente de granaderos D. Juan de la Cruz Hartera; a Ten</t>
  </si>
  <si>
    <t>Mayorga, Francisco</t>
  </si>
  <si>
    <t>Francisco Mayorga</t>
  </si>
  <si>
    <t>Ramón Ortigosa; Tenencias á los Alféreces D. Cárlos Buil y D. Pedro Lechuga, y Alféreces al Cadete D. Francisco Mayorga, al dé igual clase D. Juan Bastos y al Sargento primero D* Juan Ruiz: en el de húsares de Numancia Compañía al Ayudante may or D. Joseph'López ; para el empleo que este dexá al 1</t>
  </si>
  <si>
    <t>Mayr</t>
  </si>
  <si>
    <t>os ciudadanos que durante la insurrección se viéron obligados á expatriarse. El ciud. Mayr, Presidente de la Cámara administrativa de Lucerna, encargado de este asunto, expone, que á pesar de todos sus esfuerzos no ha podido poner acordes los emigrad</t>
  </si>
  <si>
    <t>Mayr, Lorenzo</t>
  </si>
  <si>
    <t>Lorenzo Mayr</t>
  </si>
  <si>
    <t>Ha nombrado el gobierno Comisario extraordinario en el cantón de^ Unterwald, al ciud. Lorenzo Mayr, para terminar las disensiones que se han suscitado entre los dos partidos de aquel cantón ; Uno de los qu-a— les habiendo emigrado en tiempo de la última insu</t>
  </si>
  <si>
    <t>Mazo de la Vega, Antonio</t>
  </si>
  <si>
    <t>Antonio Mazo de la Vega</t>
  </si>
  <si>
    <t>de la misma iglesia; y para una Media Ración de la catedral de Cuenca, vacante por fallecimiento de D. Antonio Mazo de la Vega , á D. Juan Pablo Muñoz , Capellán y confesor ordinario del monasterio de religiosas de S. Benito de aquella ciudad. En el regimiento de Reales Guardias Españolas se ha servido pr</t>
  </si>
  <si>
    <t>Mazo, Pedro Pablo</t>
  </si>
  <si>
    <t>Pedro Pablo Mazo</t>
  </si>
  <si>
    <t>Beneficio de la parroquial de Liria, diócesis de Valencia, vacante por muerte de D. Tomas Llopis, á D. Pedro Pablo Mazo. En atención á los méritos y servicios de D. Juan Navarro , Director general de alcabalas del Reyno de Nueva España, se ha dignado S. M. concederle los honores del Consejo supremo</t>
  </si>
  <si>
    <t>Mazuelo, Francisco Xavier</t>
  </si>
  <si>
    <t>Francisco Xavier Mazuelo</t>
  </si>
  <si>
    <t>dez. No habiendo tenido efecto el nombramiento hecho por S. M. por decreto de 26 de Junio último en D. Francisco Xavier Mazuelo para una Media-Radon de la catedral de Córdoba, vacante por muerte de Don Joaquín de Aguilar, á causa de la menor edad del agraciado, quiere S. M. se verifique en el presbítero D.</t>
  </si>
  <si>
    <t>Mazuelo, Joseph Joaquín</t>
  </si>
  <si>
    <t>Joseph Joaquín Mazuelo</t>
  </si>
  <si>
    <t>quín de Aguilar, á causa de la menor edad del agraciado, quiere S. M. se verifique en el presbítero D. Joseph Joaquín Mazuelo. S. M. se ha servido conceder en el regimiento de infantería de Valencia Tenencia al Subteniente de granaderos D. Francisco Marino; y en el de Irlanda Compañía y Tenencia á los Te</t>
  </si>
  <si>
    <t>Mdntiel'Bullón, Juan Antonio</t>
  </si>
  <si>
    <t>Juan Antonio Mdntiel'Bullón</t>
  </si>
  <si>
    <t>i para el dé la ylllá de? Gácéres á D. Manuel Oftizrdé Pinedo : para el de la de' Arahda de Duero I D. Juan Antonio Mdntiel'Bullón: para la Vara' dé Alcalde; mayor de la ciudad* de Salamanca á D. Domingo Miguel Diez ; y para la de Ciudad-Rodrigo á D. Manuel León Huerta. r;jjpQt Ja viade Londres-ha ^ recibido-</t>
  </si>
  <si>
    <t>Mechain</t>
  </si>
  <si>
    <t>mosísimo, que suministrará un nuevo ramo de comercio á nuestros paños linos. El ciud. Mechain, Astrónomo celebérrimo y conocido en toda Europa, ha sido nombrado individuo de la sociedad Real de Gotinga. .Ferrol 18 de Setiembre. E n hacimiento de gracias</t>
  </si>
  <si>
    <t>se ha repetido en muchos periódicos, ha dado motivo á Mr. le Chevalier, que se halla en España con Mr. Mechain, á comunicarme la extraordinaria empresa que se ha formado en la ciudad de Tarragona, en la costa de Barcelona, en donde Strabon decía que no había puerto alguno. Con trozos de pi</t>
  </si>
  <si>
    <t>Medel de Prada, Joseph</t>
  </si>
  <si>
    <t>Joseph Medel de Prada</t>
  </si>
  <si>
    <t>l Sargento primero D. Angel -Cafareli; y en el de la Princesa Tenencia al Subteniente de granaderos D. Joseph Medel de Prada; y también ha promovido en el batallón de Voluntarios de Tarragona á Ayudante segundo, al Teniente D. Manuel González.</t>
  </si>
  <si>
    <t>Mediano, Lorenzo</t>
  </si>
  <si>
    <t>Lorenzo Mediano</t>
  </si>
  <si>
    <t>ncisco de Paula Fernandez y Valdivia, D. Domingo Osorio, D. Vicente San.tisteban Sánchez de Torres, D. Lorenzo Mediano y.Treviño y:D_...Xavier-Mart’rnez Noguerol. ¿ . En América. En el .regimiento, de infantería iixo de Nueva España ha, servido el Rey promover á Capitanes á los Ayudantes D. Diego Be</t>
  </si>
  <si>
    <t>Medrano y Treviño, Lorenzo</t>
  </si>
  <si>
    <t>Lorenzo Medrano y Treviño</t>
  </si>
  <si>
    <t>D. Joseph y D. Pedro Aguado, Tenientes! dei regimiento provincial de Cuenca, á D. Antonio Ibarrola, D. Lorenzo Medrano y Treviño , D. Francisco Romo y Gamboa, Subtenientes de los de Avila,Ciudad-Real y Sigüenza, y á D. Felipe Oviedo, que lo filé' del de Toledo. En los regimientos de Milicias provinciales ha</t>
  </si>
  <si>
    <t>Medrano y Treviño, Luís</t>
  </si>
  <si>
    <t>Luís Medrano y Treviño</t>
  </si>
  <si>
    <t>f'54 mas de Soldevilla y Yanguas, D. Luís Medrano y Treviño y D. Antonio Sampere. , Para el Gobierno de la plaza de Berga ha nombrado el Rey á D. Joseph Ignacio S. Juan, Teniente Coronel agregado en el estado mayor de la de Málaga: para el del</t>
  </si>
  <si>
    <t>Meerfeldt'Embaxadot, General</t>
  </si>
  <si>
    <t>General Meerfeldt'Embaxadot</t>
  </si>
  <si>
    <t>brevedad. Francfort13 de Enero. S e tiene aquí la noticia de qufe la corte de Váena ha nombrado al General Meerfeldt'Embaxadot en ¡Betersburgó:. Una diputación del ducado1 dé WcSitphalia ha pasado por esta ciudad para ir á Darmstad*, á- cumplimentar al Landgrave en calidad de Duque de Westphalia. FFaya i'g</t>
  </si>
  <si>
    <t>Meidinger, Carlos (barón)</t>
  </si>
  <si>
    <t>Barón Carlos Meidinger</t>
  </si>
  <si>
    <t>uevo método de curtir los cueros , inventado por el ciud. Se^uin, en París, ha sido mejorado por el Barón Carlos Meidinger, Secretario Imperial y Real, sabio muy distinguido y conocido por muchas obras é inventos útiles. Esta mejoría consiste en la brevedad del trabajo, y en ser menores los gastos. Vi</t>
  </si>
  <si>
    <t>Melendez, Joseph Miguel</t>
  </si>
  <si>
    <t>Joseph Miguel Melendez</t>
  </si>
  <si>
    <t>e la Corona Tenencia al Subteniente Don Francisco Gallarza: en el de Africa Tenencia al Subteniente D. Joseph Miguel Melendez: en el de Zamora Tenencia al Subteniente de granaderos D. Felipe Otermin: en el de Guadalaxara Tenencia al Subteniente de granaderos D. Joseph Laxara: en el de Valencia Tenencias</t>
  </si>
  <si>
    <t>Melitcn de Navas, Joseph</t>
  </si>
  <si>
    <t>Joseph Melitcn de Navas</t>
  </si>
  <si>
    <t>y Robredo: para el de la villa de Requena á D.Joseph Reyg y Ferie j y para el de la de Ponferrada á Don Joseph Melitcn de Navas. En América. Ei Rey se ha servido nombrar para una Canongía de merced de la catedral de la Havana, vacante por fallecimiento de Don Christóbal Ramírez, á D. Juan Francisco Mendez,</t>
  </si>
  <si>
    <t>Meló, Juan</t>
  </si>
  <si>
    <t>Juan Meló</t>
  </si>
  <si>
    <t>s Cadetes D. Juan Pablo Herrera y D. Francisco López Ganuza ; á Ayudante mayor al Teniente veterano D. Juan Meló, y á esta resulta á D. Antonio Sánchez,Sargento primero veterano, todos del mismo eyerpo: en el de Milicias de caba</t>
  </si>
  <si>
    <t>Melón, Juan</t>
  </si>
  <si>
    <t>Juan Melón</t>
  </si>
  <si>
    <t>en presencia del Sr. D. Cenon Alonso, primer Oficial de la Secretaría de Gracia y Justicia, del Sr. D. Juan Melón, presbítero, Secretario honorario de S. M., bien conocidos y estimados sugetos por su mérito literario, y de D. Joseph María Duran. i.a Puso los pies desnudos sobre un hierro hech</t>
  </si>
  <si>
    <t>Melón, Julián Gregorio</t>
  </si>
  <si>
    <t>Julián Gregorio Melón</t>
  </si>
  <si>
    <t>dor Teierizo de Tejada ; para la Ración que este obtiene en aquella catedral y resultará vacante, á D. Julián Gregorio Melón: para el Arciprestazgo de la Guardia, en la diócesis de Calahorra, vacante por ascenso de D. Nicolás Vicente de Esterripa al Beneficio del Prado de. Ciudad Real, á D. Joseph Gonzá</t>
  </si>
  <si>
    <t>Melville, Lord</t>
  </si>
  <si>
    <t>Lord Melville</t>
  </si>
  <si>
    <t>ó que los estimaba, conio particulares;'pero que'como Ministros no le merecían alguna confianza. El Lord Melville, aprobando en Unos puntos la conducta de los M inistros, y censurándola en otros, fué dé parecer que se difiriese el examen. ,,Nada de dilación, replicó el Lord Hoba-rt, es precis</t>
  </si>
  <si>
    <t>Mena, Antonio</t>
  </si>
  <si>
    <t>Antonio Mena</t>
  </si>
  <si>
    <t>Corps de la Real Compañía Americana; y para igual empleo en el de infantería lixo de Nueva España á D. Antonio Mena, Guardia de Corps dé la Real Compañía Flamenca. Por el Ministerio de la Guerra se ha comunicado con fecha de 6 de este mes al Inspector general de la infantería, la Real orden sig</t>
  </si>
  <si>
    <t>Mena, María</t>
  </si>
  <si>
    <t>María Mena</t>
  </si>
  <si>
    <t>la escribanía de-cámara del supremo Consejo de la Guerra. Habiendo, fallecido en la villa de Ocana. Doña María Mena, natural de Villacastin, y dexado én su última disposición testamentaria por uno de sus herederos a Manuel del Rio, su hermano, Sargento que ha sido del regimiento de infantería</t>
  </si>
  <si>
    <t>Menas, Antonio</t>
  </si>
  <si>
    <t>Antonio Menas</t>
  </si>
  <si>
    <t>Teniente Coronel, D. Miguel O-Meaghes: en el de Astúrias Subtenencia de bandera al Sargento primero D. Antonio Menas en el de Navarra Compañía al caballero Page de S. M. D. Pedro Wintuysen; y en el de la Princesa Compañía al Teniente de granaderos,graduado de Capitán, D. Francisco Lessoyne. En el</t>
  </si>
  <si>
    <t>Mendal y Villalba, Antonio</t>
  </si>
  <si>
    <t>Antonio Mendal y Villalba</t>
  </si>
  <si>
    <t>s que tienen la naturaleza y el arte para curar las enfermedades, por el Dr. D. Antonio Mendal y Villalba, Académico de mérito de la Real Academia MedIco-Matritense. Por el mismo autor se halla en otro tomo unido al anterior un tratado físicóinédico de los baños termales de Graeiia: contiene la</t>
  </si>
  <si>
    <t>Mendérws, General</t>
  </si>
  <si>
    <t>General Mendérws</t>
  </si>
  <si>
    <t>ebrero. . E 1 General Fox partirá en breve para tomar el mando en xefe de la'Irlanda , en lugar del General Mendérws.. • En un informe presentado al Parlamento se halla el bud^et de hacienda de la Gran Bretaña , del qual resulta que entreiel cargo y la data hay un déficit anual de 658 millones d</t>
  </si>
  <si>
    <t>Mendez, Joseph María</t>
  </si>
  <si>
    <t>Joseph María Mendez</t>
  </si>
  <si>
    <t>Subtenientes de granaderos D. Fernando Martínez y D. Pascual Agustín Martínez, y á los de fusileros D. Joseph María Mendez, D. Nicolás de Vedia, D. Joseph Fran</t>
  </si>
  <si>
    <t>Mendez, Juan Francisco</t>
  </si>
  <si>
    <t>Juan Francisco Mendez</t>
  </si>
  <si>
    <t>ongía de merced de la catedral de la Havana, vacante por fallecimiento de Don Christóbal Ramírez, á D. Juan Francisco Mendez, Racionero de la misma: para esta Ración, al Medio-Racionero D. Joseph María, de Rey ñas para esta resulta á D. Manuel Guerrero Sánchez, electo Medio-Racionero de la catedral de C</t>
  </si>
  <si>
    <t>Mendinueta, Antonio</t>
  </si>
  <si>
    <t>Antonio Mendinueta</t>
  </si>
  <si>
    <t>Ronda. En el Real cuerpo de Artillería se ha servido el Rey promover á Capitán segundo al Teniente D. Antonio Mendinueta; y á Tenientes á los Subtenientes D. Miguel Forcallo y D. Fernando de Navia. En el regimiento Real de Zapadores y Minadores ha nombrado S. M. para Sargentos mayores á los de briga</t>
  </si>
  <si>
    <t>Mendivil, Joseph</t>
  </si>
  <si>
    <t>Joseph Mendivil</t>
  </si>
  <si>
    <t>de infantería de la Corona fixo de Nueva España se ha servido el Rey promover á Capitán al Ayudante D. Joseph Mendivil. S. M. se ha dignado conceder el empleo de Teniente del cuerpo de dragones de la frontera de Chile á D. Vicente Garreton, Subteniente del fhismo cuerpo; y los de Subtenientes á lo</t>
  </si>
  <si>
    <t>Mendoza, Antonio</t>
  </si>
  <si>
    <t>Antonio Mendoza</t>
  </si>
  <si>
    <t>al Cadete D. Joseph Ramón García y á D. Juan Bautista Garviso: en el de Africa al Sargento primero Don Antonio Mendoza : en el de Guaialaxara al Cadete del de Reales Guardias Walonas D. Vicente Ortiz de Gordon: en el de Sevilla ai Sargento 'primero D. Antonio Coral y al Cadete D. Francisco Rubalca</t>
  </si>
  <si>
    <t>Meneses Calvete, Juan</t>
  </si>
  <si>
    <t>Juan Meneses Calvete</t>
  </si>
  <si>
    <t>ra de la villa de Villatobas, en la misma orden, de primera clase o entrada, y de nueva creación, á Don Juan Meneses Calvete, En América. El Rey se ha servido nombrar para una plaza de Oidor de la Audiencia de Guadalaxara, vacante por jubilación de D. Manuel Silvestre Martínez , á D. Cecilio Odoardo y P</t>
  </si>
  <si>
    <t>Meneses, Gabriel</t>
  </si>
  <si>
    <t>Gabriel Meneses</t>
  </si>
  <si>
    <t>ballería de la villa de Santo-Espíritu, en la misma isla, á Doní Nicolás González, D. Manuel López, D. Gabriel Meneses y D. Joseph Velen Zamora, Subteniente, Alférez, Sargento y Cadete de la propia compañía. S. M. se ha servido nombrar para la plaza de Oidor de la Real Audiencia dé México , vacante po</t>
  </si>
  <si>
    <t>Menou, General</t>
  </si>
  <si>
    <t>General Menou</t>
  </si>
  <si>
    <t>, de Inglaterra , Alemania , Rusia, Dinamarca &amp;c. han presentado á varias Señoras de distinción. El General Menou , individuo del Tribunado , irá á reemplazar en el Piamonte ai Geneial Jourdan, Administrador general* el qual vendrá á ¿ocupar su plaza en el Consejo de Estado. Mr- Otto ha llega</t>
  </si>
  <si>
    <t>riores, asistió á la audiencia, y le traduxo al primer Cónsul el discurso del Embaxador otomano. El General Menou ha visitado con- la mayor solemnidad el nuevo establecimiento de la Venerie, formado baxo sus auspicios, con el objeto de propagar las plantas de la América, del Egipto y de La In</t>
  </si>
  <si>
    <t>se dignaron aceptar alojamiento. A las 8 de la noche j después de la cena esplendida que les dio el General Menou,</t>
  </si>
  <si>
    <t>Mentelle</t>
  </si>
  <si>
    <t>rais capaz de hacerla/’ El 26'de, Setiembre, tuvieron la honra. de presentarse al Cónsul Cambaceres Mr. Mentelle, del Instituto nacional, y Mr. Malte-Brun, literato dinamarqués; y le entregaron.una nueva geografía universal, matemática, física y política, y el Cónsul agradeció el homenage. S</t>
  </si>
  <si>
    <t>Merian</t>
  </si>
  <si>
    <t>embros del Consejo menor los dos Burgomaestres, recayendo la elección sobre los ciudadanos Sarrasin y Merian. Este, .luego que fué nombrado, se acerco al ciudadano Ochs, también miembro del Consejo menor, y le abrazó cordialmente; siendo de notar que en todo el tiempo</t>
  </si>
  <si>
    <t>Merinero, Juan de Dios</t>
  </si>
  <si>
    <t>Juan de Dios Merinero</t>
  </si>
  <si>
    <t>enor de la- capilla del Real monasterio de Franciscas descalzas de Madrid, vacante por haber pasado D. Juan de Dios Merinero, queda obtenia, á la catedral de Astorga, á D. Manuel Camps. ■ ■■ = • lin consideración á los dilatados méritos y servicios del Sr. D. Juan Pacheco, Consejero honorario de Estado,</t>
  </si>
  <si>
    <t>Merino Martínez de Pinillos, Joseph</t>
  </si>
  <si>
    <t>Joseph Merino Martínez de Pinillos</t>
  </si>
  <si>
    <t>Asesoría del Gobierno é Intendencia del Paraguay, vacante por fallecimiento de D. Tomas González, á D. Joseph Merino Martínez de Pinillos, Abogado de los Reales Consejos. S. M. se ha servido conferir la Dirección de Rentas de pólvora y naypes de Nueva España á D. Joseph Manuel Várela, Contador de ellas: la Contadurí</t>
  </si>
  <si>
    <t>Merino Ortiz, Tomás</t>
  </si>
  <si>
    <t>Tomás Merino Ortiz</t>
  </si>
  <si>
    <t>Juan Casou y compañía. En Avila.............. D. Fernando Echepare y sobrinos. En Badajoz.......... D. Tomas Merino Ortiz. En Barcelona.......D. Ramón de Llordella é hijo. En Burgos........ . D. Andrés Frayle. En Cádiz...... D. Benito de la Piedra. En Cartagena........D. Manuel de Ozores. En Ciudad-R</t>
  </si>
  <si>
    <t>nCasou y compañía. En Avila............... . D. Fernando Echepare y sobrinos. En Badajoz........... D. Tomas Merino Ortiz. En Barcelona........D. Ramón de Llordeüa é hijo. En Báreos..............D. Andrés Fray le. En Cádiz................ D. Benito de la Piedra. En Cartagena........ D. Manuel de Ozor</t>
  </si>
  <si>
    <t>Merino, Francisco</t>
  </si>
  <si>
    <t>Francisco Merino</t>
  </si>
  <si>
    <t>conceder la Capellanía del tercer batallón del regimiento de infantería de Cantabria al presbítero D. Francisco Merino. En América. El Rey se ha servido nombrar para el Arzobispado de Manila, vacante por fallecimiento del Dr. D. Ignacio de Salamanca, al R. P. Fr. Juan de Zulayba, de la orden de Sa</t>
  </si>
  <si>
    <t>Merlos, Joseph Ignacio</t>
  </si>
  <si>
    <t>Joseph Ignacio Merlos</t>
  </si>
  <si>
    <t>dro de Arce, Comandante del tercer batallón; á esta resulta al Sargento mayor, graduado de Coronel, D. Joseph Ignacio Merlos; á la que este dexa al Coronel D. Francisco Caballero, Capitán de granaderos, y á esta al de fusileros, graduado de Teniente Coronel, D. Pedro García. El Rey se ha servido conferi</t>
  </si>
  <si>
    <t>Meseguer, Francisco</t>
  </si>
  <si>
    <t>Francisco Meseguer</t>
  </si>
  <si>
    <t>por ia ciudad de Murcia, verificados en los últimos dias de Diciembre del año pasado de 1802 , por D. Francisco Meseguer , médico, natural y vecino de dicha ciudad. Se hallará en la librería de Barco, carrera de San Gerónimo , en Valencia en la de Jorge, enOrihuela en la de Ibáñez,y en Murcia en la</t>
  </si>
  <si>
    <t>Mestres, Alexo</t>
  </si>
  <si>
    <t>Alexo Mestres</t>
  </si>
  <si>
    <t>do batallón de Voluntarios de Barcelona á los Subtenientes D. Juan Cárlos de Soto, de granaderos, y D. Alexo Mestres: Subtenencias de bandera en los de Zaragoza , Navarra y España, &gt;.áD. Francisco del Castillo y D. Manuel López Quintana, Cadetes de Reales Guardias Walonas, y al Sargento primero</t>
  </si>
  <si>
    <t>Meyer, Félix</t>
  </si>
  <si>
    <t>Félix Meyer</t>
  </si>
  <si>
    <t>ía Pusterla: el empleo de segundo Capítan en el regimiento Suizo de Betschart al Teniente del mismo D. Félix Meyer: Igual empleo en el de Rutiman al Teniente del propio cuerpo D. Francisco Xavier Dempffle ; el de Ayudante en el mismo regimiento al Teniente D. Gaspar Antonio Schwager; y Subtene</t>
  </si>
  <si>
    <t>Michan, Joseph</t>
  </si>
  <si>
    <t>Joseph Michan</t>
  </si>
  <si>
    <t>illería se ha dignado S. M. promover á Capitanes primeros á los Capitanes segundos D. Juan Carrera, D. Joseph Michan, D. Gregorio Pardo, D. Joseph Lana, D. Juan Sánchez, D. Joseph Ruiz, D. Francisco-Reyna y D. Joseph Vergara. El Rey ha nombrado en el Real cuerpo de Ingenieros Capitán primero á D</t>
  </si>
  <si>
    <t>Michelena, Joseph</t>
  </si>
  <si>
    <t>Joseph Michelena</t>
  </si>
  <si>
    <t>Subteniente de granaderos al de fusileros D. Pedro Gongora; á Subtenientes de bandera á los Cadetes D. Joseph Michelena y D. Joseph Frontaura , y á Ayudantes á los Tenientes destinados á servir en el exército de Puerto-Rico D. Francisco de Arana y D. Manuel Fernandez. Por el Ministerio de Hacienda se h</t>
  </si>
  <si>
    <t>Migazzi, Cardenal</t>
  </si>
  <si>
    <t>Cardenal Migazzi</t>
  </si>
  <si>
    <t>orque preservan á los prácticos de los continuos peligros que los amenazan, Vierta iG de Abril. £ I Cardenal Migazzi, Arzobispo de esta capital , ha muerto el día 7 á los 89 años de edad. Acaba de publicarse otro edicto concerniente ú la amortización de obligaciones y otros efectos al portador,</t>
  </si>
  <si>
    <t>Miguel Alonso</t>
  </si>
  <si>
    <t>e Ximenez: para el Arciprestazgo de Caracena, en la diócesis de Sigüenza, vacante por traslación de D. Miguel Alonso á una Canongía de la catedral de Cuenca, á D. Juan Francisco' Avendaño, con dimisión de la Dignidad que obtiene en Astorga: para ei Beneficio de la parroquial de la villa de Gumie</t>
  </si>
  <si>
    <t>io López: para el Arciprestazgo de Caracena , en el obispado de Sigiienza, vacante por promoción de D. Miguel Alonso á una Canongía de "Cuenca, y por renuncia que ha hecho de él D. Juan Francisco Avendaño, á D. Manuel Salinas: para un Beneficio del Coto de Labio, en el arciprestazgo de Pravia de</t>
  </si>
  <si>
    <t>Miguel Cayetano</t>
  </si>
  <si>
    <t>con la deb¡4a. exactitud á los interr.ogatorios . de agricultura que jes-ha remitido el Excmó.Sr.' D. Miguel Cayetano .Solera Secretario de Estado y del Despacho universal de la Real Hacienda, y deseando ademas de las memorias y papeles trabajados por sus individuos con el útil objeto de dar á co</t>
  </si>
  <si>
    <t>Miguel Joseph</t>
  </si>
  <si>
    <t>iere hacer mejora acuda ante el Sr. Alcalde D. Miguel Munarriz, y por ia escribanía de provincia de D. Miguel Joseph 'García de la Madrid. Compendio de la Historia universal: quaderno 26 ( 2.0 del tomo 7.0 ) con las 6 estampas correspondientes. Se hallará en la librería de (jome? Fuentenebró y c</t>
  </si>
  <si>
    <t>Milán, Ventura</t>
  </si>
  <si>
    <t>Ventura Milán</t>
  </si>
  <si>
    <t>de Solanillos del Extremo, en el obispado de Sigiienza, vacantes por renuncia que ha hecho de ellos D. Ventura Milán, á D. Francisco Espada; y para una Capellanía de la Real capilla de Granada, vacante por muerte de Don Francisco de Paula Fonseca y Montilla, á D. Manuel Joseph Guillen, Director</t>
  </si>
  <si>
    <t>Milhaud, General</t>
  </si>
  <si>
    <t>General Milhaud</t>
  </si>
  <si>
    <t>io. Las que se hallan en el Albaro, han hecho, el domingo último, ejercicio general, mandado por el General Milhaud. Brusélas 4 de 'Noviembre. S e ha formado en Utrecht un consejo de guerra para arreglar y repartir las tropas auxiliares francesas que sirven á sueldo de la República bátara, y cu</t>
  </si>
  <si>
    <t>Millan, Ignacio</t>
  </si>
  <si>
    <t>Ignacio Millan</t>
  </si>
  <si>
    <t>Nicolás Galindo y D. Gabriel Rringas; á Alféreces á los Portaguiones D. Sebastian de Ozta y Cotera, D. Ignacio Millan y D. Francisco Lozada, y á Portaguiones á los Cadetes D. Domingo Savariego, y D. loaquin Náxera y al Sargento D. Francisco Rodríguez.</t>
  </si>
  <si>
    <t>Milleyro, Joseph</t>
  </si>
  <si>
    <t>Joseph Milleyro</t>
  </si>
  <si>
    <t>. E í Rey se ha servido nombrar para la Canongía de la catedral deTuy, vacante por fallecimiento de D. Joseph Milleyro, i D. Francisco Valverde y de Hoya: para otra Magistral de Púlpito de la de Orihuela, vacante por promoción de D. Joaquín Ximeno á la Dignidad de Maestrescuela</t>
  </si>
  <si>
    <t>Minguez, Tomás</t>
  </si>
  <si>
    <t>Tomás Minguez</t>
  </si>
  <si>
    <t>ado por su premoción ár una Canongía de la colegial de S. Felipe, en el arzobispado de Valencia, á ,D. Tomas Minguez, por no haber tenido efecto el .nombramiento que hizo S. M. de este mismo sugeto por decreto de 24 de. Abril ultimo para igual Prebenda de la propia catedral: para la del lugar de</t>
  </si>
  <si>
    <t>Ministro Conde de Savadofski</t>
  </si>
  <si>
    <t>u La-comision de los establecimientos públicos , baxo la dirección del Ministro Conde de Savadofski, se ocupa en el proyecto de establecer en: Petersburgo una universidad, que estará baxoda inspección de la academia de las ciencias, y Stock olmo 14 de Diciemb</t>
  </si>
  <si>
    <t>Ministro Directorial Barón de Albini</t>
  </si>
  <si>
    <t>pasado el 5 las notas siguientes á la Dieta general del Imperio, por medio del Ministro Directorial Barón de Albini. 1.* ,, El infrascrito , Ministro plenipotenciario de la República francesa cerca de la Dieta del Imperio germánico , sabe que S. M. I. de to</t>
  </si>
  <si>
    <t>Ministro Electoral</t>
  </si>
  <si>
    <t>ler. _Nó' han llegado á un á esta ciudad S. E. el co-Comisario imperial , ni el Ministro Electoral dé^Bohemia!^ G-ottinga 15 de Noviembre. ‘ ' E 1 Emperador Alexandro 1 ha dado una nueva prueba del aprecio que hace de las ciencias y délos que las profesan, cond</t>
  </si>
  <si>
    <t>Ministro Electoral de Bohemia</t>
  </si>
  <si>
    <t>io sus juntas, __ El mismo dia dirigió á la dictadura , el Barón de Fahnenberg, Ministro Electoral de Bohemia, una representación con fecha del dia anterior. S. E. pide, en nombre del Príncipe reynante dé Salm-Salm (que le ha encargado su voto en la Dieta), que ademas</t>
  </si>
  <si>
    <t>Ministro Electorales</t>
  </si>
  <si>
    <t>, relativamente á las dependencias bávaras en Austria. Se han reunido todos los Ministros Electorales en casa del Barón de Albini, Ministro dírectorial del Colegio electoral, para deliberar sobre el partido que ha de tomarse en orden á la introducción de los quat</t>
  </si>
  <si>
    <t>Ministro Imperial</t>
  </si>
  <si>
    <t>e la diputación. El de esta junta fue que los §§. mencionados se comunicasen al Ministro Imperial, después de conferir sobre ellos con los Ministros me</t>
  </si>
  <si>
    <t>287 diadorés. La 45 se reduxd á fa exposición que hizo ei Ministro Imperial de las varias conferencias que habia tenido con los de las potencias mediadoras acerca de los mismos §§. En la 46 anunció el Ministro directoría! que ei Ministro Impe</t>
  </si>
  <si>
    <t>tos en alemán , y corregidos por el .texto francés, han sido presentados por el Ministro Imperial á los de las potencias mediadoras, los quales han subscripto al trabajo de la diputación , dirigiéndole al mismo tiempo 47 §§. en francés con la súplica de aña</t>
  </si>
  <si>
    <t>lo, expresando el modo de pensar de su corte* ya de antemano manifestado por el Ministro Imperial á los de las potencias mediadoras y á la diputación. Después de recordar las reservas y espectativa con que el Plenipotenciario imperial subscribid á las modif</t>
  </si>
  <si>
    <t>n mucha ceremonia el conclusumde los 3 colegios y el anuncio de la Dieta por ei Ministro Imperial al Príncipe de la Tour y Taxis, que inmediatamente lo dirigió á S. M. I. Desde el tratado de Westphalia nó se: habia visto otro conclusum sñ que tanto se inter</t>
  </si>
  <si>
    <t>Ministro Jueces</t>
  </si>
  <si>
    <t>co también al venerable Dean y Cabildo de la santa iglesia de Santiago, y á los Ministros Jueces protectores del Voto ; y del recibo me dará V. aviso para noticia del Consejo. Dios guarde &amp;c. Por Escribanía de Cámara y de Gobierno del Consejo Real se ha ex</t>
  </si>
  <si>
    <t>Ministro Kannoveriano</t>
  </si>
  <si>
    <t>ia al Chanciller del Echiquier, al Duque de Cumberland, al Lord Hawkesbury y al Ministro Kannoveriano, quedando aquella tarde despachado el correo irances, á quien se encargó fuese con prontitud. _ Las noticias que habían corrido aquí de haber sido asesinado el</t>
  </si>
  <si>
    <t>Ministro Monrgelas</t>
  </si>
  <si>
    <t>, L a nueva organización del departamento de Hacienda, dispuesta por el célebre Ministro Monrgelas, ha aumentado mucho el crédito del estado. También se conocen ya los efectos de la instrucción pública, en que pone el Elector mucha atención. La universidad d</t>
  </si>
  <si>
    <t>Ministro Plenipotenciario</t>
  </si>
  <si>
    <t>sto de guerra. Parts 2 de Febrero. E 1 General Lannes, Enviado extraordinario y Ministro Plenipotenciario cerca de S. A. R. el Príncipe Regente de Portugal, ha sido presentado al primer Cónsul por el Ministro de Relaciones exteriores , para despedirse y volver á su</t>
  </si>
  <si>
    <t>Mr. Stratton, que queda de Encargado de negocios de su corte con el carácter de Ministro Plenipotenciario. También se ha notado que la carta de notificación dirigida por el Lord Elgin ai Cuerpo diplomático, para anunciar.á los Ministros extrangeros su sucesor inter</t>
  </si>
  <si>
    <t>Ministro Saxon</t>
  </si>
  <si>
    <t>a con el nuevo Elector de SalzBourg, quien pasará también á aquella capital. El Ministro Saxon en Wena ha presentado una memoria muy circunstanciada al VIce-Chanciller del Imperio , en que alega que el cargo de Archi-Panadero del Imperio, que solicita actu</t>
  </si>
  <si>
    <t>Ministro Subdelegados</t>
  </si>
  <si>
    <t>torial leyó la última nota de los Ministros francés y ruso, y luego votaron los Ministros Subdelegados. El de Bohemia y el de la orden Teutónica se refirieron á sus votos precedentes. El de Saxonia pidió la remisión de esta nota á la Dieta , como suplemento de l</t>
  </si>
  <si>
    <t>Ministro Taileyrand</t>
  </si>
  <si>
    <t>ya la osadia de sostener, exígia otra que fué la supresión de la nota en que el Ministro Taileyrand decía .al Embaxador británico, qué no aceptando la Rusia aquella propuesta, restaba ver -si la aceptaban'la Prusia y el Emperador de Alemania; pero que la propósi</t>
  </si>
  <si>
    <t>Ministro Talleyrand</t>
  </si>
  <si>
    <t>lena de baxas mentiras, y de los libelos mas groseros. Continúa diciendo que el Ministro Talleyrand había respondido que- el objeto de: aquella comisión era puramente comercial , y.que, se han hecho sobre el particular repetidas lepresentaciones, á que.'el go</t>
  </si>
  <si>
    <t>Ministro Togado</t>
  </si>
  <si>
    <t>a y Carvajal,' Regente de la Real Audiencia de Guadalaxara : para otra plaza de Ministro Togado del propio Consejo, vacante por muerte de D, Tomas Alvares de Ácevedb, á D. Benito de la Mata-Linares, Regente de la Real Audiencia de Buenos-Ayres; y para la Fisc</t>
  </si>
  <si>
    <t>Minto, Lord</t>
  </si>
  <si>
    <t>Lord Minto</t>
  </si>
  <si>
    <t>hallase una seguridad suficiente para su independencia. Concluyó» oponiéndose á la proposición._.El Lord Minto la.,defiende y examina toda la conducta de los Ministros. Los justifica de la retención de Malta fundándose en principios de política y conveniencia. Con este motivo se extiende sobr</t>
  </si>
  <si>
    <t>Miot</t>
  </si>
  <si>
    <t>e presentó el proyecto de ley relativo á los apellidos y mudanza de nombres. El ciudadano Miot resumió la historia de las variaciones que ha habido en la legislación sobre esta materia. „ Antes del año de mil de la era vulgar , los nombres de familia no</t>
  </si>
  <si>
    <t>Miquelez, Pedro</t>
  </si>
  <si>
    <t>Pedro Miquelez</t>
  </si>
  <si>
    <t>. Vicente Naudin y D. Juan Bautista Jayme: én el de León Subtenencia de bandera al Sargento primero D. Pedro Miquelez : en el de Irlanda Compañía al Teniente de granaderos, graduado de Teniente Coronel, D. Miguel O-Meaghes: en el de Astúrias Subtenencia de bandera al Sargento primero D. Antonio M</t>
  </si>
  <si>
    <t>Miralpeis, Ramón</t>
  </si>
  <si>
    <t>Ramón Miralpeis</t>
  </si>
  <si>
    <t>a villa de Prats del Rey, diócesis de Vique, vacante por fallecimiento de D. Francisco Coldelram, á D. Ramón Miralpeis; para otro Beneficio simple de S. Martin , fundado en la capilla del castillo de Boltrega, diócesis de Vique, vacante por muerte de D. Benito Gandara, á D. Mariano Ros y Gols: par</t>
  </si>
  <si>
    <t>Miranda, Pedro</t>
  </si>
  <si>
    <t>Pedro Miranda</t>
  </si>
  <si>
    <t>po, graduado de Coronel, D. Juan de Dios Alvarez Ordoño: la del de la Princesa al del propio cuerpo D. Pedro Miranda: la del de Málaga al de Granaderos voluntarios de Estado D. Isidro del Saso: la del de Jaén al del mismo cuerpo, graduado dé Coronel, D. Roque Amia: la dél de las Ordenes Militare</t>
  </si>
  <si>
    <t>Miret, Joseph</t>
  </si>
  <si>
    <t>Joseph Miret</t>
  </si>
  <si>
    <t>ento de letras de la ciudad de Segovia á D. Antonio González Alameda: para el de la de Airó caraz á D. Joseph Miret: para el de la de Cuenca, que este dexa, á Don</t>
  </si>
  <si>
    <t>Miró, Juan</t>
  </si>
  <si>
    <t>Juan Miró</t>
  </si>
  <si>
    <t>de, á Don Joseph Biul: para otro de la villa de Valls, diócesis de Tarragona, vacante por muerte de D. Juan Miró, á D. Juan Mas y Gabaldá; y para otro de la parroquia de Sarreal, en la misma diócesis de Tarragona, vacante por .fallecimiento de D. Agustín Borras, á D. Juan Padreny. S. M. se h</t>
  </si>
  <si>
    <t>Mita, Conde</t>
  </si>
  <si>
    <t>Conde Mita</t>
  </si>
  <si>
    <t>onde dicen Majalento ó peña de Juan Rubio, con 2266 cepas y 2144 marras, en 66/6j. otra al pago del Conde Mita , con 1043 cePas y 1 57 marras , á oriente y mediodía con Jacinto Vado, en 6168 rs. 16 mrs.: otra al pago de la Macharía, linda con vina dé Manuél Taboada, con 400 cepas vivas y S</t>
  </si>
  <si>
    <t>Mitiavila</t>
  </si>
  <si>
    <t>n índice completo del Semestre y de su suplemento. Se hallará esta obra con todos los opúsculos del Dr. Mitiavila en Ja librería de Castillo; en Cádiz en la de Pajares, en Valencia en la de Mellen , en Zaragoza en la de Yagiie Monge, en Cervera en la de Oliveres, y en Barcelona en la de Ectheri</t>
  </si>
  <si>
    <t>Mítjavila</t>
  </si>
  <si>
    <t>ragoza ¿n !á de Yague Monge con todos los antecedentes opúsculos , y el Semestre médico-clínico del Dr. Mítjavila. Experimentos , que para observar si los gases ácido minerales eran verdaderos antídotos contra los miasmas de la epidemia que reynó en Sevilla el año 1800, hizo en su misma perso</t>
  </si>
  <si>
    <t>Mitjavila y Fisonell, Vicente</t>
  </si>
  <si>
    <t>Vicente Mitjavila y Fisonell</t>
  </si>
  <si>
    <t>a clínica que en el sfío 1802 díó á sus discípulos en la Real Academia médico-práctica de Barcelona D. Vicente Mitjavila y Fisonell, Catedrático de medicina práctica &amp;c. Para recomendar este escrito bastará publicar el dictámen dado por los censores de dicha Academia, y aprobado por la misma. «Esta obrita, dix</t>
  </si>
  <si>
    <t>Mítjavila y Fisonell, Vicente</t>
  </si>
  <si>
    <t>Vicente Mítjavila y Fisonell</t>
  </si>
  <si>
    <t>acogida de los sabias la primera parte , que contiene las observaciones de las enfermedades agudas, D. Vicente Mítjavila y Fisonell ha resuelto hacer imprimir la segunda parte, á fin que la obra esté completa. Se hallará, con 1$ primera parte en la librería de Castillo /frente á S. Felipe el Real.; en Valencia</t>
  </si>
  <si>
    <t>Miyares y Mancebo, Fernando</t>
  </si>
  <si>
    <t>Fernando Miyares y Mancebo</t>
  </si>
  <si>
    <t>'nombrado - segundó Ayudante del regimiento Real de Zapadores y Minadores ai-Teniente de Ingenieros D. Fernando Miyares y Mancebo.?- * ,• . . ^ . . , . , ¡,; £1 Rey se lia-servhjo-nOiñbrairpára-ei- Corregimiento’dé letras de la ciudad dé; Toro ;i D. Joseph María Cuellar i para el dé la ylllá de? Gácéres á D.</t>
  </si>
  <si>
    <t>Mnlet, Antonio</t>
  </si>
  <si>
    <t>Antonio Mnlet</t>
  </si>
  <si>
    <t>Rafael y de Jacinta Juan , na—^ j tural de Algaida en Mallorca, de-^ 120. X.3.. Antonio Mnlet..¿ q pendiente del Corregimiento de Pal - f L ma. Murió en 2 de Diciembre de 96.J pHijo de Bernardo y de Teresa, natu-q /■) 9 1* Josef Martí. j ral de Alexar en Cataluña, depen- i 411. 29 t diente del Corregimiento de T</t>
  </si>
  <si>
    <t>Mo, Francisco</t>
  </si>
  <si>
    <t>Francisco Mo</t>
  </si>
  <si>
    <t>e Corps á Subrigadier ál Cadete Di Simón de Lille de Jourdan; á. Cadete dé número al Supernumerario D. Francisco Mo— zeta , y ,á Supernumerario al Guardia*!). Francisco Dupuis. ” ' S. M. se ha servido conceder en el regimiento de infantería de Valencia Subtenencia de bandera aí Cadete;del .cuer</t>
  </si>
  <si>
    <t>Mocenigo, Jorge (conde)</t>
  </si>
  <si>
    <t>Conde Jorge Mocenigo</t>
  </si>
  <si>
    <t>sará a sus descendientes, si los títulos para gozarlo permanecen intactos é inviolables.” Firmado’. Conde Jorge Mocenigo, Plenipotenciario. r , Constantinopia, 29 de Junio. S egun los últiinos avisos, de Egipto, el triunfo de los arnautas ha sido-de corta duración; pues habiéndose reunido las tropas</t>
  </si>
  <si>
    <t>Modesto Navarro del Rey, Joseph</t>
  </si>
  <si>
    <t>Joseph Modesto Navarro del Rey</t>
  </si>
  <si>
    <t>eses llamando á los interesados en ella, no han comparecido , y ahora ele nuevo se cita y emplaza á D. Joseph Modesto Navarro del Rey, hijo de aquel, á fin de que comparezca en dicha Subdelegacion general á deducir su derecho por sí ó con suficiente poder dentro del término de dos meses, contados desde i a fecha</t>
  </si>
  <si>
    <t>Mohr</t>
  </si>
  <si>
    <t>rtos á disposición del Rey. Berna $ de Febrero. E 1 General Ney. ha dirigido al ciud. Mohr , Ministro de Relaciones exteriores de la Helvecia , la carta siguiente : „Los informes que he recibido directa é indirectamente sobre la situación interior de</t>
  </si>
  <si>
    <t>Moiitojo, Joseph</t>
  </si>
  <si>
    <t>Joseph Moiitojo</t>
  </si>
  <si>
    <t>nio Joseph de Mata y Valderrama: en el de Astárias Subtenencia de bandera at Cadete D. Joseph Moiitojo: igual empleo en el de América al Sargento prirtiero de granaderos D. Joseph Teruel y al Cadete D. Alexandro Monfbr; en el de Ordenes Militares la Comandancia del tercer batallón</t>
  </si>
  <si>
    <t>Moira, Lord</t>
  </si>
  <si>
    <t>Lord Moira</t>
  </si>
  <si>
    <t>tura del bilí sobre la suspensión de los pagos del banco en especie. Adoptada la propuesta, dixo el Lord Moira: ,,La providencia que se nos lia propuesto es en las presentes circunstancias de tanta importancia y de naturaleza tan singular, que yo me, lisonjeo de que n® se pasará adelante s</t>
  </si>
  <si>
    <t>iarse á oficiales acreditados, como el Lord Grey y un noble Conde que tenían á«la vista (mirando al Lord Moira.) Tampoco querría quedara sin mando el noble Xord que ganó el Egipto para la Inglaterra---- El Lord Grosvenor dice al orador que guarde moderación.__ El Duque de Clarence se manif</t>
  </si>
  <si>
    <t>ón parcial de varios Oficiales, mientras no se emplean otros que se han distinguido, entre ellos el Lord Moira; y hace una delicada alusión á no haberse admitido las ofertas de sus servicios que hizo un ilustre personage.__ Entrando después en varios por menores militares, el Lord Hobart l</t>
  </si>
  <si>
    <t>Mojon</t>
  </si>
  <si>
    <t>no se han continuado las obras; los fuertes de Bogas están en buen estado...... (Se continuard). El Dr. Mojon, profesor de química é individuo de la Sociedad de medicina de Genova, escribe lo siguiente: ,,Luego que se notaron los progresos de la fiebre epidémica, se pusieron en práctica l</t>
  </si>
  <si>
    <t>motivo oyó la Sociedad la opiuion de algunos de sus miembros , y determinó tratar de ello otro dia. Mr. Mojon ha dado cuenta de algunos experimentos que prueban, en su sentir, que el galvanismo detiene la putrefacción de las materias anímales. También se dio cuenta de un nuevo fenómeno ob</t>
  </si>
  <si>
    <t>Molenaer</t>
  </si>
  <si>
    <t>sioneros. La Sociedad constitucional de Harlen ha dado una fiesta muy lucida al ciud. Molenaer , pescador de la aldea de Zandvoort, que apagó el fuego que ios ingleses habian puesto á un barco, quando acometieron, hace como un mes , desde el Mesa hasta e</t>
  </si>
  <si>
    <t>Moles, Joaquín</t>
  </si>
  <si>
    <t>Joaquín Moles</t>
  </si>
  <si>
    <t>SS. P. Benedicto xtv sobre santificar el sagrado tiempo de la quaresma, traducida en castellano por D. Joaquín Moles , presbítero. Se hallará en la imprenta y librería de Blanques, calle de las Carretas, núm. 2. Plano de la ciudad de Jerusalen y sus inmediaciones., como estaba en tiempo de Ntro.</t>
  </si>
  <si>
    <t>principalmente del Concilio de Trento*. en francés por el Sr. Bossuet: traducidas en castellano por Don Joaquin Moles, presbítero. Se hallarán en la imprenta y librería de Blanques, calle de las Carretas, núm. 2. Erasto, ó el amigo de la juventud: lecciones familiares en las que se dan á los jóve</t>
  </si>
  <si>
    <t>e, que sea.catedral ó metropolitana, no se cumple con este mandamiento: traducida en castellano por D. Joaquín Moles , presbítero. S,e hallará en la imprenta y librería de Blanques, calle de las Carretas, núm. 2. Libros de medicina y cirugía que se hallan en la librería de Campo, calle de Alcalá</t>
  </si>
  <si>
    <t>muy útiles para las personas de todos estados: traducidos de su original italiano en castellano por D. Joaquín Moles, presbítero : añadido el compendio de la vida del Santo del breviario romano , y el exercicio quotidiano de los cinco actos necesarios para salvarse, é indulgencias que le están c</t>
  </si>
  <si>
    <t>o con que se le debe la adoración , procurando enmendar muchos abusos : traducido al castellano por D. Joaquín Moles, presbítero. Se hallará en la imprenta y librería de Blanques , calle de las Carretas. ¡ Carta al público, en que el autor de la obra Gabinete de antigüedades procura vindicarla,</t>
  </si>
  <si>
    <t>i’SS.P. Benedicto xrv sobre santificar el sagrado tiempo del adviento , traducida en castellano por D. Joaquín Moles, presbítero. Se hallará con las otras que han salido, que son: el patrocinio de S. Antonio Abad sofcre lós animales; sobre los seminarios conciliares y su suplemento; sobre la qua</t>
  </si>
  <si>
    <t>Molla, Joseph</t>
  </si>
  <si>
    <t>Joseph Molla</t>
  </si>
  <si>
    <t>siguiente: ,,E1 Rey quiere qué V. E. disponga qúe D. Joseph Molla , de ese comercio, devuelva á su remitente de Amsterdam las 32 piezas de prunela y una de chamelote que presentó al despacho en esa aduana , y están prohibidas: y de Real orden lo</t>
  </si>
  <si>
    <t>Mon y Velarde, Romualdo</t>
  </si>
  <si>
    <t>Romualdo Mon y Velarde</t>
  </si>
  <si>
    <t>sia y Arzobispado de Tarragona, vacante por fallecimiento del limo. Sr. D. Fr. Francisco Armañá , á D. Romualdo Mon y Velarde , Dean de la catedral de Córdoba. S. M. se ha servido nombrar pira la Dignidad de Arcediano .de Cerdaña y Canongía unida de la catedral de Urge! á D. Francisco de la Encina : para</t>
  </si>
  <si>
    <t>Monaste, Julián</t>
  </si>
  <si>
    <t>Julián Monaste</t>
  </si>
  <si>
    <t>a villa de Camarena, en la diócesis de Toledo, vacante por fallecimiento de D. Andrés Rodríguez , á D. Julián Monaste</t>
  </si>
  <si>
    <t>Monasterios, Rafael</t>
  </si>
  <si>
    <t>Rafael Monasterios</t>
  </si>
  <si>
    <t>eros á los Subtenientes D. Joseph Leandro Palacios, D. Joseph Antonio Cazcrla , D. Domingo Gaiindo, D. Rafael Monasterios, D. Simón de Bolívar, D. Miguel Uztariz y D. Agustín Carvallo: á Subteniente de granaderos al de fusileros D. Luis Carvallo; y {\ Subteniente de fusileros á D. J oseph María Paz d</t>
  </si>
  <si>
    <t>MonBr</t>
  </si>
  <si>
    <t>rmamento consiste en 4 cañones deá ,y ó carona Jas de á 36: tenia á bordo 82 hombres, y lo mandaba; Mr. MonBr ford, Teniente de navio. En el Venteux murieron el segundo Capitán y</t>
  </si>
  <si>
    <t>Monfbr, Alexandro</t>
  </si>
  <si>
    <t>Alexandro Monfbr</t>
  </si>
  <si>
    <t>ojo: igual empleo en el de América al Sargento prirtiero de granaderos D. Joseph Teruel y al Cadete D. Alexandro Monfbr; en el de Ordenes Militares la Comandancia del tercer batallón al Sargento mayor del segundo batallón de Voluntarios de Aragón, graduado de Teniente Coronel, D. Joseph María de Mu</t>
  </si>
  <si>
    <t>Monnet, General</t>
  </si>
  <si>
    <t>General Monnet</t>
  </si>
  <si>
    <t>alcheren', interceptan quantos buques se arriman á nuestro puerto.__ A conseqüencia del decreto del General Monnet han salido del departamento de Zelanda quantos ingleses había en él con sus -numerosas familias.'-Se executa también con mucho rigor la orden-de-cor</t>
  </si>
  <si>
    <t>que otros muchos cuerpos están para llegar, y que irán al mismo destino á reforzar el exército del General Monnet,que se va concentrando y aproximándose á las costas cerca de Flesínga, Veere y Middelburgo. Este movimiento da. lugar á varias conjeturas, «o podiendo temerse empresa alguna de pa</t>
  </si>
  <si>
    <t>ducidos de Middelburgo al quartel general de Poinsot,quien al dii siguiente los envió á Flesinga al General Monnet, Comandante general de la Zelanda. Ambos oficiales prisioneros han dicho al General Poinsot, que estaban encargados de reconocer el parage mas conveniente para hacer un desembarco</t>
  </si>
  <si>
    <t>Monsagrati y Escovar, Francisco</t>
  </si>
  <si>
    <t>Francisco Monsagrati y Escovar</t>
  </si>
  <si>
    <t>11 de Febrero de este año falleció en esta corte , á ios 71 años, 8 meses y 2 dias de edad, el Sr. D. Francisco Monsagrati y Escovar, presbítero, caballero de la orden de Calatrava, y Ministro del Real Consejo de las Ordenes. En el año de 1766 empezó á servir la plaza de caballero Fiscal de su orden en dicho Re</t>
  </si>
  <si>
    <t>Monsagrati, Francisco</t>
  </si>
  <si>
    <t>Francisco Monsagrati</t>
  </si>
  <si>
    <t>l Rey se ha servido nombrar para la plaza vacante en el Consejo de las Ordenes por fallecimiento de D. Francisco Monsagrati á D. Lope de Peñaranda. También ha nombrado S. M. para una plaza de Alcalde de su Real casa y corte, vacante por promoción de D. Pedro Nicolás del Valle á. otra del Consejo de Hac</t>
  </si>
  <si>
    <t>Mont, Salvador</t>
  </si>
  <si>
    <t>Salvador Mont</t>
  </si>
  <si>
    <t>uia de Torruella de Mongrí, diócesis de Gerona , vacante por fallecimiento de D. Francisco Verry, á Don Salvador Mont. En la Real Compañía de Alabarderos se ha servido promover el Rey á primer Teniente al Mariscal de Campo Marques de Campo Real y Peñafuenté , segundo Teniente de la misma Compañía</t>
  </si>
  <si>
    <t>Montagu, Almirante</t>
  </si>
  <si>
    <t>Almirante Montagu</t>
  </si>
  <si>
    <t>crucero , y por consiguiente hacer un desembarco cerca de la bahía de Stoka, han salido de aquí el Almirante Montagu y el General Wlitlock para el paso de la Aguja , y han levantado un pian de defensa de estos sitios. Haya, 20 de Octubre. Ei Cál ciad. Apostool, Agente de la marina bátava en Londres,</t>
  </si>
  <si>
    <t>Montagut, Joseph</t>
  </si>
  <si>
    <t>Joseph Montagut</t>
  </si>
  <si>
    <t>eo Hernández: para un Beneficio de la parroquia de VÜlafranca del Panadés, diócesis de Barcelona, á,D. Joseph Montagut: para la Abadía del Real monasterio de Sta. María de Amer y Rosas de la Congregación benedictina claustral de Cataluña, á D. Fr. Joaquín Laplana; y para la Biblioteca de nueva ere</t>
  </si>
  <si>
    <t>Montal, Pablo</t>
  </si>
  <si>
    <t>Pablo Montal</t>
  </si>
  <si>
    <t>Hijo de Francisco y de María Balses,') natural de San Pedro de Roda en ¡ 4.a.. Pablo Montal. Cataluña, dependiente del Corre- V 264 17 gimiento de Vique. Murió en 2 de| Diciembre de 1801....................... 3 Total........................... ............ 4.344. 1 Nota. Los herederos de los difuntos arriba m</t>
  </si>
  <si>
    <t>Montaner, Nicolás</t>
  </si>
  <si>
    <t>Nicolás Montaner</t>
  </si>
  <si>
    <t>con otros dos , y fundados en la catedral de Mallorca, vacante por muerte de D. Lorenzo Alamañy, á D. Nicolás Montaner: para el Priorato Regular de Sta. María de Moya nidlius dioecesis de Cataluña, vacante por fallecimiento de D. Fr. Francisco Llovet y Mas, á D. Fr. Antonio de Valparda y de Pascal</t>
  </si>
  <si>
    <t>Montano, Francisco</t>
  </si>
  <si>
    <t>Francisco Montano</t>
  </si>
  <si>
    <t>Escovar: en el.de Zaragoza á Capitán al Ayudante del de infantería de Córdoba, graduado de Capitán, D. Francisco Montano; á Tenientes á los Subtenientes D.‘Joaquín Abad y D, Joseph Pedrosa, este de granaderos: en el de Mallorca á Tenientes á los Subtenientes D. Francisco María Requena y D. Gines Jos</t>
  </si>
  <si>
    <t>Montemayor, Manuel</t>
  </si>
  <si>
    <t>Manuel Montemayor</t>
  </si>
  <si>
    <t>lientes: el 4.0 y 5.0 á D. Francisco Perez de Arce y D. Antonio del Campo; y el 6.° se sorteo entre D. Manuel Montemayor, D. Julián Martin López y D. Manuel de Hoyos-, y recayó en Hoyos. Se graduó de sobresaliente á D. Mariano Mbllá, á quien no se dió premio por ser pasante de la escuela numeraria d</t>
  </si>
  <si>
    <t>Montenegro, Francisco</t>
  </si>
  <si>
    <t>Francisco Montenegro</t>
  </si>
  <si>
    <t>era, y enterado en la aritmética y geometría especulativa: tiene un año y quatro meses de servicio. Don Francisco Montenegro, igual al anterior, y ademas instruido en parte de los tratados de secciones cónicas y máximas de fortificación: tiene un año y quatro meses de servicio. Don Antonio Quirós, igual</t>
  </si>
  <si>
    <t>regimiento de infantería de España se ha servido el Rey promover i Subteniente de bandera ai Cadete D. Francisco Montenegro: en el de Aragón á Teniente al Subteniente D. Manuel Ortiz: en el de Extremadura ¿Subteniente de bandera al Cadete de Reales Guardias Walonas D. Augusto de Pelleport: en el primer</t>
  </si>
  <si>
    <t>Montero de Espinosa, Joseph</t>
  </si>
  <si>
    <t>Joseph Montero de Espinosa</t>
  </si>
  <si>
    <t>D. Gines Joseph Zamora, este de granaderos: en el de Aragón á Teniente al Subteniente de granaderos D. Joseph Montero de Espinosa : en el primer batallón de Voluntarios de Aragón á Teniente al Subteniente D. Juan Lafuente; y en el batallón de Voluntarios de Campo Mayor á Capitán segundo al Teniente de granad</t>
  </si>
  <si>
    <t>Montero, Antonio</t>
  </si>
  <si>
    <t>Antonio Montero</t>
  </si>
  <si>
    <t>simismo ha conferido S. M. la Compañía fixa de dragones del presidio del Carmen, en Nueva España, á D. Antonio Montero, Capitán primero del Real cuerpo de Artillería: la Comandancia del esquadron de dragones de América, fixo de la Havana, al Coronel D. Ramón de Sentmanat y Copons, Teniente Coronel</t>
  </si>
  <si>
    <t>Montero, Carlos</t>
  </si>
  <si>
    <t>Carlos Montero</t>
  </si>
  <si>
    <t>l de los Ríos, D. Francisco Cabrera, D. Luis Padilla, D. Xavier Elio, D. Juan Chrisóstomo Trelles ,.D. Cárlos Montero, D. Vicente Martínez, D. Pedro Grimarest, D. Alonso Valdes y D. Alexandro Ojea, Sargentos mayores de los de España , Navarra , Princesa, batallón de Voluntarios de Valencia, Mallo</t>
  </si>
  <si>
    <t>Montero, Felipe</t>
  </si>
  <si>
    <t>Felipe Montero</t>
  </si>
  <si>
    <t>el Arciprestazgo de Uceda; en la diócesis de Toledo , vacante por muerte de D. Joseph de Asenjo , á D. Felipe Montero : para un Beneficio fundado baxo la invocación de todos los Santos en la catedral de Gerona, vacante por fallecimiento de D. Pedro Mailol, á D. Antonio Serva-, para el Beneficio d</t>
  </si>
  <si>
    <t>Montes Salazar, Joseph</t>
  </si>
  <si>
    <t>Joseph Montes Salazar</t>
  </si>
  <si>
    <t>sus exércitos á los Coroneles del Real cuerpo de Artillería E), Gerónimo Leoni, D. Josejúi Betegón, D. Joseph Montes Salazar, D. Nicolás Antuñano y D. Antonio Casano; á los del de Ingenieros D. Pedro Cortés y D. Francisco Villa</t>
  </si>
  <si>
    <t>Valcárcel, Xefe de escuela del propio departamento; á Xefe de escuela del de Cartagena al Brigadier D. Joseph Montes Salazar, y á Coronel y Comandante de la artillería de la Havana á D. Agustín Ibarra, Teniente Coronel del expresado cuerpo. S. M. se ha servido conceder la Capellanía del tercer batallón</t>
  </si>
  <si>
    <t>Montes y Guzman, Francisco</t>
  </si>
  <si>
    <t>Francisco Montes y Guzman</t>
  </si>
  <si>
    <t>cibe el abono en España, en la Havana á la imprenta de la Capitanía general, y en México en casa de D. Francisco Montes y Guzman, junto á la Estampa del Refugio. Las leyes ilustradas por las ciencias físicas, ó tratado de Medicina legal y de higiene pública, escrito en francés por el ciud. Francisco Manuel</t>
  </si>
  <si>
    <t>Montes, Felipe</t>
  </si>
  <si>
    <t>Felipe Montes</t>
  </si>
  <si>
    <t>El Rey ha promovido á Capitanes segundos dei Real cuerpo de Ingenieros del exército á los Tenientes D. Felipe Montes y D. Manuel Otermin; y ha nombrado Capellanes del regimiento Real de Zapadores y Minadores á D. Miguel EscobosayD. Miguel de Totorica, que lo eran de los regimientos de infantería de</t>
  </si>
  <si>
    <t>dante del regimiento Real de Zapadores y Minadores al Capitán segundo del Real cuerpo de Ingenieros D. Felipe Montes. . En América. El Rey se ha servido nombrar Subteniente en el regimiento de infantería de Buenos-Ayres á D. Francisco Jayme, Guardia de Corps de la Real Compañía Americana; y para</t>
  </si>
  <si>
    <t>Montezuma y Roxas, Antonio</t>
  </si>
  <si>
    <t>Antonio Montezuma y Roxas</t>
  </si>
  <si>
    <t>ra de la catedral de aquella ciudad: para un Beneficio de S. Pedro de Murcia, vacante por muerte de D. Antonio Montezuma y Roxas, á D. Andrés Antonio d« Iturmendi, con la obligación de precisa y personal residencia: para otro Beneficio simple de la parroquial de S. Vicente de Galdones, en el concejo de Gijo</t>
  </si>
  <si>
    <t>Montilla, Ignacio</t>
  </si>
  <si>
    <t>Ignacio Montilla</t>
  </si>
  <si>
    <t>obas y D. Gabriel Moron; á los Capitanes primeros D. Joseph Torras y Pellicer y D. Antonio Agudo: á D. Ignacio Montilla, Capitán del regimiento provincial de Bujalance; y á D. Nicolás María Renden , Capitán del de Ronda. En el Real cuerpo de Artillería se ha servido el Rey promover á Capitán segund</t>
  </si>
  <si>
    <t>Montoya, Felipe</t>
  </si>
  <si>
    <t>Felipe Montoya</t>
  </si>
  <si>
    <t>ción , con los 63 que vienen de fuera á la escuela y al trabajo de fábricas. Convocados por el Lie. D. Felipe Montoya, Canónigo Lectoral de esta santa iglesia &amp;c., los caballeros Corregidor, Mariscal de Campo , capitulares del muy noble Ayuntamiento , Capitanes é individuos del regimiento provinc</t>
  </si>
  <si>
    <t>Montricbard, General</t>
  </si>
  <si>
    <t>General Montricbard</t>
  </si>
  <si>
    <t>el hecho. El delinqiiente se ha disculpado diciendo que estaba bebido. Yj Haya to ae Diciembre. XÍ1 General Montricbard y sus edecanes han salido de aquí para Breda, donde se sentará el quartel general de las tropas francesas que se hallan en esta República. Una carta del Gobernador general l&gt;átavo d</t>
  </si>
  <si>
    <t>Montrichard, General</t>
  </si>
  <si>
    <t>General Montrichard</t>
  </si>
  <si>
    <t>conduccion por agua. r Haya 7 de Diciembre. Oe confirma que permanecerá aquí el quartel general del General Montrichard. , . « El Cuerpo legislativo ha renovado estos días todas las leyes, que se habían formado contra la.importación de los géneros prohibidos. Varias partidas de tropas han ido á lo</t>
  </si>
  <si>
    <t>e pasó, á una comisión de la asamblea. Lo mismo se ha pedido y se ha resuelto en quanto al añil. El General Montrichard, en virtud de orden que ha recibido de Palis , salió el dia 8 con la plana mayor para Breda. El Cónsul de España en Amsterdain ha hecho saber que en virtud de orden de su Soberano</t>
  </si>
  <si>
    <t>positivas del resultado de las negociaciones con Francia. Uaya 9 de Mayo. H oy se ha sabido que el General Montrichard va á mudar su quartel general, pasándolo á Nhnega. Tres son las divisiones que manda; y ya ha declarado el gobierno bátavo que dará cierta suma por los sueldos atrasados de estas</t>
  </si>
  <si>
    <t>eral de Bredu. También se han reunido en Nimega varias administraciones militares; y se cree que el General Montrichard va inmediatamente á pasar á aquella ciudad su guartel general. Se reúne un gran cuerpo de tropas francesas en el Baxo-Rhin y en las cercanías de Nimega.; Mucho se ha aumentado en</t>
  </si>
  <si>
    <t>ngen, para'cortar todo lo que pudiera hallarse entre este parage y Diepholz, el que debía atacar el General Montrichard. Viendo el enemigo que este movimiento se dirigía i, rodearle por su derecha, se retiró aquella noche á Borsten. El r.° de Junio, la vanguardia mandada por el General Drouet, tuvo</t>
  </si>
  <si>
    <t>Montrychard, General</t>
  </si>
  <si>
    <t>General Montrychard</t>
  </si>
  <si>
    <t>hallan en la República bátava. Se espera esta resolución quando vuelva el Ayudante de Campo que el General Montrychard ha enviado hace cinco o seis dias á París. Los países que por el convenio de i.° de Enero de 1800 fuéron cedidos por el gobierno francés á la República bátava, pagarán en adelante</t>
  </si>
  <si>
    <t>Moore</t>
  </si>
  <si>
    <t>Conde de Voronzow, Ministro de Rusia, ha llegado á esta capital. Igualmente se halla aquí de vuelta Mr. Moore, Plenipotenciario en Suiza. ' Mr. Dundas ha sido creado Lord con el título de Vizconde de Mel-. ville; y se dice que reemplazará ai Lord Pelliam en el departamento del Interior. L</t>
  </si>
  <si>
    <t>lavctísis actual.todos los discursos que exiigeran los males de la guerra y desalientán al pueblo. Mr. Moore advierte que á fuerza de hacer objeciones contra los impuestos, se acabará por quitarlos. Quando todos están de acuerdo en que se necesitan grandes -esfuerzos, es preciso, estarlo</t>
  </si>
  <si>
    <t>Moore, General</t>
  </si>
  <si>
    <t>General Moore</t>
  </si>
  <si>
    <t>tan en las Dunas algunos transportes y buques armados destinados para una expedición que mandará el General Moore, con las tropas que están acampadas baxo sus órdenes. La subscripción hecha en el café de Licyd para formar un fondo patriótico ascendía el 3 del presente mes á 20,200 libras este</t>
  </si>
  <si>
    <t>las gazetas de una expedición que había salido de las Dunas. Ni un solo soldado de los que manda el General Moore se ha movido de su campamento de Sítame Cliff, ni se ha embarcado en las Dunas. Solo hay allí 4 transportes, mas de un mes hace, pero se ignora su destino. Ha llegado cié Bengala</t>
  </si>
  <si>
    <t>Mor, Pedro</t>
  </si>
  <si>
    <t>Pedro Mor</t>
  </si>
  <si>
    <t>illo ,,.D. Rafael Gavino Zequeyra y D. Ignacio Loysel; á Subtenientes, de compañía á Los de bandera D. Pedro Mor^ll, p. Gabriel Me noca!, D. Joseph de Córdoba y D. Manuel González, y á.Subtenientes de bandera á los Cadetes D. Gabriel OrRian , D. Joaquín. Elosua y D. Francisco Valera , y al .</t>
  </si>
  <si>
    <t>Moral, Jacinto</t>
  </si>
  <si>
    <t>Jacinto Moral</t>
  </si>
  <si>
    <t>tenencia que quedaba vacante á D. Jacinto Moral, Sargento primero que era en la propia compañía. El Rey se ha dignado nombrar para una plaza de Oidor de la Real Audiencia* de Goatcmala, vacante por promoción de D. Francisco Rob</t>
  </si>
  <si>
    <t>Moral, Joseph</t>
  </si>
  <si>
    <t>Joseph Moral</t>
  </si>
  <si>
    <t>al de fusileros Don Andrés Kiss; á Tenientes á los Subtenientes de granaderos D. Higínio ligarte y D. Joseph Moral; á Subtenientes de granaderos á los de fusileros D. Manuel Adan y D. Hilario Figueroa, y á Subtenientes de bandera á los Cadetes D. Luis Calatayud, D. Joseph Llaguno y D. Manuel B</t>
  </si>
  <si>
    <t>Morales y Hugalde, Andrés</t>
  </si>
  <si>
    <t>Andrés Morales y Hugalde</t>
  </si>
  <si>
    <t>diencia de Cuba: para esta plaza á D. Diego Piloña, Fiscal de la de Goatemala: para esta Fiscalía á Don Andrés Morales y Hugalde, Abogado de la Audiencia de Lima; y para una plaza de Oidor de la Audiencia de Cuba, vacante pqr ascenso d$ D. Pedro Catani á Regente de la de Guadalaxara, á D. Joseph Antonio Ram</t>
  </si>
  <si>
    <t>Morales, Antonio</t>
  </si>
  <si>
    <t>Antonio Morales</t>
  </si>
  <si>
    <t>n al Teniente , graduado de Capitán, D, Paulino Unceta: en el de Valencia á Teniente al Subteniente D. Antonio Morales: en el de Asturias á Sargento mayor al Capitán del de la Corona D. Antonio Falques : en el fixo de Ceuta á primer Subteniente al segundo D. Simón Romero, y á segundos Subtenientes</t>
  </si>
  <si>
    <t>Morales, Joseph Isidoro</t>
  </si>
  <si>
    <t>Joseph Isidoro Morales</t>
  </si>
  <si>
    <t>ia matemática sobre el cálculo de la opinión en las elecciones *. por el Dr. D. Joseph Isidoro Morales, Teniente de ayo de los caballeros P¿ges del Rey; impresa de órden de S. M. En esta Memoria se aplica la análisis á los actuales métodos de elegir, y se resuelven analíticamente las princip</t>
  </si>
  <si>
    <t>ria matemática sobre el cálculo de la opinión en las elecciones : por el Dr. D. Joseph Isidoro Morales, Teniente de ayo de los caballeros Pages del Rey: impresa de orden de S. M. En esta Memoria se aplica la análisis á los actuales métodos de elegir, y se resuelven analíticamente las princip</t>
  </si>
  <si>
    <t>Morder, General</t>
  </si>
  <si>
    <t>General Morder</t>
  </si>
  <si>
    <t>ul ha satisfecho sus esperanzas, y ha mandado al Ministro de Guerra escribir la- carta siguiente al General Morder, Comandante en xefe del exércitó francés. ,,La universidad de Goetínga, ciud. General , ha hecho siempre grandes; servicios á las ciencias y á las letras, y el Instituto nacional</t>
  </si>
  <si>
    <t>inga, por los servicios que tiene hechos á las ciencias-yí las artes; y le avisa que tiene orden el General Morder para proteger sus establecimientos, y del aprecio que merecen sus individuos al primer Cónsul, y particularmente Mr. Martens , protector de la universidad. Uannóver 21 de Junio. E</t>
  </si>
  <si>
    <t>se ha realizado ninguna de las noticias que corrían ni de las conjeturas que se habian formado. El General Morder se ha limitado á pedir nuevas sumas necesarias al servicio, y á que se apronten también las que no se han satisfecho tpdayía. Todo lo que se ha pagado á los franceses hasta el dia</t>
  </si>
  <si>
    <t>ferentes naciones. Hamburgo 2 de Noviembre. P arece cierto que los oficiales enviados por parte del General Morder para dar el pésame al Duque de Mecklemburg-Schewerin, por la muerte de la Princesa hereditaria , estaban efectivamente encargados de reclamar las ’cáxas y los caballos del Rey de</t>
  </si>
  <si>
    <t>Morder, Teniente General</t>
  </si>
  <si>
    <t>Teniente General Morder</t>
  </si>
  <si>
    <t>irey de Santa Fe de Bogotá, regaló estos dos llamas al General Rochambeau. París iS de Junio. 1 E 1 Teniente General Morder, Comandante en xefe del exército de Han-¿ nóver, lia dado cuenta al Ministro de Guerra de haber entrado el 5 del corriente en aquélla capital: que reyna en el exército la mas exác</t>
  </si>
  <si>
    <t>Mordwinow, Almirante</t>
  </si>
  <si>
    <t>Almirante Mordwinow</t>
  </si>
  <si>
    <t>a que el General de infantería Buyberg ha sido nombrado Gobernador militar de Petersburgo, y que el Almirante Mordwinow, Ministro de Marina, ha conseguido se le accepte la dimisión de todos sus empleos. El Vice-Almirante Tschitschagow, que ha sido nombrado Colega del Ministro de Marina, corre inter</t>
  </si>
  <si>
    <t>Moreno de Texada, Juan</t>
  </si>
  <si>
    <t>Juan Moreno de Texada</t>
  </si>
  <si>
    <t>Olavide, acomodado al tamaño de la obra del Evangelio en triunfo, y' gra-' bado con todo esmero por D. Juan Moreno de Texada. Estampas 11 y* 12 de la colección de las edades del hombre, que representan la de 70 y 80 ailo6. Se hallarán á real con las anteriores en la librería de Escribano, calle de las C</t>
  </si>
  <si>
    <t>nte á las gradas de S. Felipe, y en Zaragoza en la de Monge. Dos estampas en quartilla grabadas por D. Juan Moreno de Texada para la traducción del Cántico de Salomen, por el Abad actual de Silos. Representa la i.a el alma en gracia esposa de Jesuchristo visitada de su amado: 2.a sueño misterios© de la</t>
  </si>
  <si>
    <t>Moreno, Juan</t>
  </si>
  <si>
    <t>Juan Moreno</t>
  </si>
  <si>
    <t>ubtenientes D*. Juan Bautista Pellerin, D. Terencio Le-Blanc, D. Benigno Calderón , D. Pedro' Rola, D. Juan Moreno; D. Ursino Bóuiigny, D. Francisco Garreli, Don1 Francisco de Hévia, P- Vicente Fernandez Texero, graduado de Teniente , D. Antonio Gayarre y D. Francisco LadeVese, los tres primer</t>
  </si>
  <si>
    <t>Moreno, Manuel</t>
  </si>
  <si>
    <t>Manuel Moreno</t>
  </si>
  <si>
    <t>en el regimiento de infantería de Saboya á Subteniente de bandera al Sargento primero de granaderos D. Manuel Moreno, y á Teniente en^l de España al Subteniente de granaderos D. Joseph Virues. , ■ En América. S. M. se ha servido nombrar para la Dignidad de Chantre de la catedral de Quito, vacant</t>
  </si>
  <si>
    <t>Moreno, Manuel Antonio</t>
  </si>
  <si>
    <t>Manuel Antonio Moreno</t>
  </si>
  <si>
    <t>ico Director de Anatomía y Cirujano mayor del hospital de naturales de México, por fallecimiento de D. Manuel Antonio Moreno. &gt; Por el Ministerio de Hacienda se ha comunicado con fecha de 19 de Agosto la Real orden siguiente: ,,El Rey se ha servido mandar que á los ahnanakes náuticos , tablas logarítmic</t>
  </si>
  <si>
    <t>Moreno, Romualdo</t>
  </si>
  <si>
    <t>Romualdo Moreno</t>
  </si>
  <si>
    <t>arroquia de S. Juan de la villa de Talamanca, en el arzobispado de Toledo, vacante por promoción de D. Romualdo Moreno ai Deanato de la catedral de Coria, á D. Joseph Blas García Moreno, Racionero electo dé la iglesia primada de Toledo: para la Ración del colegio de Sancti-Spíritus de la ciudad de</t>
  </si>
  <si>
    <t>Moreno, Vicente</t>
  </si>
  <si>
    <t>Vicente Moreno</t>
  </si>
  <si>
    <t>l Rey, graduado de Teniente Coronel, D. Pedro Linares; y Subtenencia de bandera al Sargento primero D. Vicente Moreno : en el de Granaderos Voluntarios de Estado Tenencia al Subteniente D. Joseph María Yoanis; y en el de Borbon Tenencia al Subteniente D. Joseph Asaillit. En América. £1 Rey $e ha</t>
  </si>
  <si>
    <t>Moreo, Gerónimo</t>
  </si>
  <si>
    <t>Gerónimo Moreo</t>
  </si>
  <si>
    <t>uis WimpfFen :-la del .primer batallón de Voluntarios de Aragón al Capitán primero del mismo cuerpo D. Gerónimo Moreo; y la del de Voluntarios de Valencia al Capitán primero del mismo batallón, graduado de Te- *</t>
  </si>
  <si>
    <t>Morera, Juan Antonio</t>
  </si>
  <si>
    <t>Juan Antonio Morera</t>
  </si>
  <si>
    <t>Director; 7 el Vice-Director Marques de Valera ; 4 el Archivero D. Manuel de Velasco; uno el socio D. Juan Antonio Morera; 4 el socio D. luán Martínez de Hermosilla, y uno por un particular. A mas de los 41* premios,se dió uno extraordinario á María Ramona Blanc., por su particular mérito en el borda</t>
  </si>
  <si>
    <t>Morete, Manuel</t>
  </si>
  <si>
    <t>Manuel Morete</t>
  </si>
  <si>
    <t>ngenieros del exército ha’nombrado S. M. Tenientes á los Subtenientes D. Joseph Iglesias Barrantes, D. Manuel Morete, D. Roque Cilleruelo y D. Sebastian de S. Juan; y Subtenientes á D. Andrés Rodríguez, D. Manuel Zapatero, que lo éran del regimiento de infantería de España y del provincial de Al</t>
  </si>
  <si>
    <t>Moreyra, Salvador</t>
  </si>
  <si>
    <t>Salvador Moreyra</t>
  </si>
  <si>
    <t>ez, y: á Portaguiones á ios Cadetes D. Juan-Francisco Zamudio y D. Nicolás Martínez,, y al Sargento D. Salvador Moreyra. &gt; El Rey se ha servido nombrar para el empleo de Coronel del bata- i llon de. infantería de. Milicias disciplinadas de Blancos de Carácas á Don</t>
  </si>
  <si>
    <t>Morillas y Navarrete, Joseph</t>
  </si>
  <si>
    <t>Joseph Morillas y Navarrete</t>
  </si>
  <si>
    <t>o María de'Valle y de Marimon.. Para una plaza de Oidor supernumerario de la Audiencia de Sevilla Á D. Joseph Morillas y Navarrete, Alcalde del crimen mas antiguo de la Chancíliería de Granada. Por justas causas que ha representado á S. M. el Ministro de la Audiencia de Asturias D. Joseph Salvador López del P</t>
  </si>
  <si>
    <t>Mortier y Comandante, Teniente General</t>
  </si>
  <si>
    <t>Teniente General Mortier y Comandante</t>
  </si>
  <si>
    <t>go el honor &amp;c.” Convenio entre los diputados civiles y militares de la Regencia de Hannóver j y el Teniente General Mortier y Comandante en xefe del exército francés, Art. I. El exército francés'ocupará el Hannóver, como también las fortalezas que de él dependen. II. Las tropas hannoverianas se retirarán detras del E</t>
  </si>
  <si>
    <t>Mortier, General</t>
  </si>
  <si>
    <t>General Mortier</t>
  </si>
  <si>
    <t>Generales Montrichard, Laurent, Frere, Drouet y Snee, y muchos oficiales ingenieros. Se dice que el General Mortier mandará las tropas reunidas en Gueldres. Nimega iñ de Mayo. L as tropas francesas han recibido improvisamente.orden de pasar el Waal, y han principiado á executarlo hoy ; mañana y</t>
  </si>
  <si>
    <t>nte de la artillería, y sé compone de 40 piezas y 200 caxones tirados por buenos caballos. Añade el General Mortier que aunque ha encontrado poco dinero en las caxas, no dexarán de asegurar el sueldo del exército francés, que ya no necesita que el primer Cónsul le mande nada mas que sus órdenes</t>
  </si>
  <si>
    <t>nomos de Alemania, á solicitar la protección del gobierno francés; y en vista de lo que ha hecho el General Mortier en su favor^ exceptuando su tesoro del seqiiestro que comprehende á todas las caxas públicas del país, no se duda que logre sus deseos. Francfort 12 de Junio. U na carta particular</t>
  </si>
  <si>
    <t>esa en esta ciudad, ha presentado el 5 de este mes al Presidente la carta que sigue, escrita por el General Mortier al Senado, y la nota que explica las intenciones de este General* ,,Señores** Habiendo el gobierno de Inglaterra mandado apresar embarcaciones francesas, sin preceder declaración</t>
  </si>
  <si>
    <t>pa. Espero, Milord, que me manifestareis las intenciones de S. M. Británica &amp;c.” Al mismo tiempo el General Mortier recibió orden de manifestar al General del exército del Rey de Inglaterra en Hannóver, que estaba pronto el primer Cónsul á ratificar el convenio de Suhlingen luego que lo hubiese</t>
  </si>
  <si>
    <t>ados nombrados por la Regencia de Hannóver y el gobierno francés.” En conseqüencia se hizo saber al General Mortier , que no habiéndose verificado la ratificación por parte del Rey de Inglaterra, el convenio de Suhlingen era nulo y de ningún valor.__ El General Mortier escribió al Conde de Waim</t>
  </si>
  <si>
    <t>ontinente no tomarán parte en sus desavenencias. Francfort 8 de Setiembre. áce algún tiempo cjue el General Mortier había distribuido parte de su exército en el distrito del ducado de Luneburgo que* se avecina al Elba. Se aseguraba generalmente que su objeto era observar los dinamarqueses acamp</t>
  </si>
  <si>
    <t>88r nlciones respectivas, el General Mortier retira también casi todas sus tropas de las orillas del Elba, y las destina á guarniciones en lo interior del Hannóver. Este mismo General ha declarado á los senados de las tres c</t>
  </si>
  <si>
    <t>Suecas. -y. Uannóvrr iS de Setiembre. JLos Generales Montrichard y Dessoles pasan del exercito del General Mortier al de Italia.</t>
  </si>
  <si>
    <t>89° £1 General Mortier y el Administrador general Durbach fueron recibidos con música militar en la asamblea de los estados congregada el 2 del corriente. El primero tomó la voz , pidió se proveyese á la ma</t>
  </si>
  <si>
    <t>stribuido entre las tropas francesas, ó han tomado su licencia, porque lo dexáron á su arbitrio. El General Mortier ha consentido en que se paguen i® rixdalers mensuales para manutención del establecimiento conocido, en esta ciudad, bax¡o el nombre de Georgiannmy en ef que se educan los hijos d</t>
  </si>
  <si>
    <t>e Setiembre, ha pasado ai gobierno de la República el oficio siguiente : ,, Ciudadanos Cónsules. El General Mortier ha enviado á París 19 banderas y 16 estandartes, ganados en diferentes épocas á los franceses, por las tropas hannoverianas, que se han encontrado en la armería de Hannóver. La ma</t>
  </si>
  <si>
    <t>quien los manda----- Me ha parecido conveniente proponer al gobierno que las banderas que envía el General Mortier se cuelguen en la iglesia de los inválidos con esta inscripción: ......Signa nestris restitnit sacris Direpta Parthorum superbis Postibus. Firmado: Alexándro Berthier.” Qrranada 2</t>
  </si>
  <si>
    <t>Mortier, Teniente General</t>
  </si>
  <si>
    <t>Teniente General Mortier</t>
  </si>
  <si>
    <t>Generales Montrichard , Frere y Drouet han llegado hoy a Arnheim, El comandante del exército es el Teniente General Mortier, que tiene á sus1 órdenes al General de división Montrichard , y á los Generales de brigada Drouet,Schinner yDumoulin. El General de caballería Nanzonty manda las tropas de este e</t>
  </si>
  <si>
    <t>ca. Hannóvcr 11 de Junio. Extracto de una carta de ir de este mes, Al entrar ejn este Electorado el Teniente General Mortier, Comandante en xefe,v-tonáó las disposiciones mas severas para mantener la disciplina en su exército, y para que se respeten las personas y las propiedades. Por su drdén de i.° de</t>
  </si>
  <si>
    <t>visto el primer Cónsul en la necesiaad de tenerle por nulo y de ningún valor. En conseqiiencia, el Teniente General Mortier, Comandante en xefe del exército francés, y S. E. el Conde de Waimoden, Comandante en xefe del exército hannoveriano, han convenido en la capitulación siguiente, que debe llevarse</t>
  </si>
  <si>
    <t>ió de Brusélas para volver á París el mismo día que el primero continuó su viage por la Bélgica. £1 Teniente General Mortier, Comandante en xefe del exércíto francés en el Hannóver., escribe al Ministro de Guerra, de su quartel general de Hannóver, con fecha del 2 Thermidor (21 de Julio), la carta sigui</t>
  </si>
  <si>
    <t>Morusi, Príncipe</t>
  </si>
  <si>
    <t>Príncipe Morusi</t>
  </si>
  <si>
    <t>emerarij pero que la tropa lo había cortado inmediatamente.^, , Constantinopía 18 de Noviembre. E 1 Príncipe Morusi, nuevo Hospodar de Moldavia, salid el 9 para Ja$sy. El mismo día se han despachado, como se acostumbra todos los años, los presentes que el Gran Señor envía á la Meca. Según las,u</t>
  </si>
  <si>
    <t>Mosquera y Figueroa, Joaquín</t>
  </si>
  <si>
    <t>Joaquín Mosquera y Figueroa</t>
  </si>
  <si>
    <t>do nombrar para una plaza de Alcalde del crimen de la Audiencia de México, vacante por promoción de D. Joaquín Mosquera y Figueroa á otra de Oidor de ella, á D. Manuel Mariano de Blaya y Blaya, Fiscal de lo civil de la Audiencia deSanta Fe; y para esta resulta á D. Manuel Martínez Mansilla, Asesor del gobiern</t>
  </si>
  <si>
    <t>Mosteyrin, Francisco</t>
  </si>
  <si>
    <t>Francisco Mosteyrin</t>
  </si>
  <si>
    <t>ha servido pro-r ¿íover S.iM/f ái primer Ayudañto-mayor al primer Teniente y segundp Ayudante mayor D. Francisco Mosteyrin. ' " . £1 Rey? se&gt;há servido: prómovér á Capitán pfriméro aD. Antonio Rosellá , Capitán segundo del Real cuerpo; de Artllleríá. , S. M. ha 'nombrado - segundó Ayudante del regimie</t>
  </si>
  <si>
    <t>Mosti, Esteban</t>
  </si>
  <si>
    <t>Esteban Mosti</t>
  </si>
  <si>
    <t>eniente de cazadores en el regimiento de Reales Guardias Españolas al segundo Teniente de fusileros D. Esteban Mosti; y segundo Teniente de fusileros al Alférez de cazadores Don Joseph Ansoategui. JY primer Teniente en el de Reales Guardias Walonas al segundo Ayudante mayor, graduado de Teniente</t>
  </si>
  <si>
    <t>Motezuma y Roxas, Antonio</t>
  </si>
  <si>
    <t>Antonio Motezuma y Roxas</t>
  </si>
  <si>
    <t>erva-, para el Beneficio de la parroquia de Tuque, en la diócesis de Córdoba, vacante por muerte de D. Antonio Motezuma y Roxas, á D. Manuel María de Tejada y Romero ; y para un Beneficio Diaconíl de la parroquia de Torruella de Mongrí, diócesis de Gerona , vacante por fallecimiento de D. Francisco Verry,</t>
  </si>
  <si>
    <t>Motezuma y Roxas, Joseph</t>
  </si>
  <si>
    <t>Joseph Motezuma y Roxas</t>
  </si>
  <si>
    <t>n fuerte piquete de provinciales de esta ciudad. Concluido el acto pasó el cuerpo á la casa del Sr. D. Joseph Motezuma y Roxas , Teniente ae S. A. , donde se sirvió un magnífico y exquisito refresco ,á que concurriéron los cuerpos de ciudad y eclesiástico, la nobleza de ambos sexos y oficialidad de varios</t>
  </si>
  <si>
    <t>Moulard</t>
  </si>
  <si>
    <t>d. S. Loup , comandante de una división de baterías volateras de la costa, y el ciud. Moulard, propietario y marino retirado , gotoso y de cerca de 60 años de edad , se hizo conducir á la ribera para auxiliar á los náufragos con sus consejos, que fuéron</t>
  </si>
  <si>
    <t>Movano, Tomás</t>
  </si>
  <si>
    <t>Tomás Movano</t>
  </si>
  <si>
    <t>rdida. —1L - --------------------------------------- ------ - ’ Por,mandado dd Sr. Alcalde de corte D. Tomas Movano,y escribanía de provincia de D. Joseph Fernandez de Uceda^ se vende un oficio de Procurador de lo» Reales .Consejos, y sp ha mandado sacar á pública subasta y remate por término d</t>
  </si>
  <si>
    <t>Moxica y Tálense, Rafael</t>
  </si>
  <si>
    <t>Rafael Moxica y Tálense</t>
  </si>
  <si>
    <t>enca á D. Francisco Joseph Romo , D. Fernando Juan de Zurita ,' D. Juan: Joseph de Lara y Pedrajas, D. Rafael Moxica y Tálense y D. Benito Ramos Novillo. S. M. ha nombrado para el empleo de Alguacil mayor de la Real Audiencia de Valencia á D. Miguel Nebot. . En América. En el regimiento de infantería de Bueno</t>
  </si>
  <si>
    <t>Moya, Antonio</t>
  </si>
  <si>
    <t>Antonio Moya</t>
  </si>
  <si>
    <t>es de los mismos regimientos, graduados de Tenientes Coroneles, D. Pedro Labastida, D. Joseph Imaz, D. Antonio Moya, D. Antonio Luxan, D. Luis Bertrán, D. Nicolás Darcourt, D. Francisco de Corts, D. Cárlos Fitzgerald, D. Juan Brikdale, D. Juan O-Donovan, D. Juan Ponce de León , D. Antonio Lechu</t>
  </si>
  <si>
    <t>Moyano, Buenaventura</t>
  </si>
  <si>
    <t>Buenaventura Moyano</t>
  </si>
  <si>
    <t>ha servido nombrar para la Iglesia y Obispado de Palenciá, vacante por fallecimiento del limo. Sr. D, Buenaventura Moyano, ál Sr. D. Francisco Xavier Almonaeid , Canónigo Magistral de la catedral de Salamanca. S. M. se ha servido nombrar para la Dignidad de Arcediano mayor del Salvador de la. metropo</t>
  </si>
  <si>
    <t>Moyano, Tomás</t>
  </si>
  <si>
    <t>Tomás Moyano</t>
  </si>
  <si>
    <t>y viernes de cada semana en la sala del Real jardín botánico. Por mandado del Sr. Alcalde de corte D. Tomas Moyano,en virtud de órdenes superiores , y por la escribanía de provincia de D. Joseph Fernandez de Uceda , se han sacado á pública subasta y remate por término de 30 días, contados desd</t>
  </si>
  <si>
    <t>su admisión, como lo executáron en ia sesión .del dia 20 de Abril anterior. El Sr. Alcalde de corte D. Tomas Moyano ha señalado, el dia 1 2 del presente mes, á las 11 de su mañana, en la escribanía de provincia de D. Joseph Fernandez de Uceda, el remate de una casa, situada en la cálle de Fuenc</t>
  </si>
  <si>
    <t>se halle le entregue á dicho Arenaza, ó en esta corte al referido Chavarri. El Sr. Alcalde de corte D. Tomas Moyano ha señalado el.dia 16 del presente, á la hora de las 11 de su mañana, en la escribanía de provincia de D. Joseph Fernandez .de Uceda, el remate de una casa, situada en la calle de</t>
  </si>
  <si>
    <t>n con certificación de su cumplimiento sin posta alguna, i , . Por mandado del Sr. Alcalde de corte D. Tomas Moyano, y escribanía de Provincia de p. Joseph Fernandez de Uceda, se ha sacado á pública subasta , venta y remate un Oficio de Procurador de los Reales Consejos, estimado en 80^ rs. en,</t>
  </si>
  <si>
    <t>Mr de Fahnénberg</t>
  </si>
  <si>
    <t>pes por los de Waldburgo, de Ress-Plauen, de Salm-Salm y de Fagger-Babenhausen. Mr de Fahnénberg, Ministro de Austria, ha apoyado las reclamaciones del Príncipe de Salm-Salm, y con esta ocasión ha reclamado indemnizaciones justas en favor del partido católico por los votos numerosos qu</t>
  </si>
  <si>
    <t>Mr, Teniente General</t>
  </si>
  <si>
    <t>Teniente General Mr</t>
  </si>
  <si>
    <t>mar del Norte. . £ Berlín ry de Setiembre. M. ha enviado las insignias del orden del Aguila Roxa al Teniente General Mr. Bismaret, y precisamente recibid este honor á tiempo en que los Oficiales de carabineros, de quienes es Coronel, celebraban el año 50 de tan respetable General. El Rey y la Reyna</t>
  </si>
  <si>
    <t>Mrlaraux</t>
  </si>
  <si>
    <t>emente el oficio de difuntos. La mañana siguiente se celebraron con igual solemnidad las honras , y Mr. Mrlaraux dixo una oración fúnebre, verdaderamente digna del Pontífice cuya memoria se celebraba , y causó la mas viva satisfacción al numeroso concurso que asistió á la ceremonia. Todo se</t>
  </si>
  <si>
    <t>Muíler-Fridberg</t>
  </si>
  <si>
    <t>elvética, que han sido reconocidos, y esperamos otro de Bayiera. Se creeque los ciudadanos Stokar y Muíler-Fridberg estarán encargados de estas negociaciones por parte de la Dieta helvética. ' \ Roma 2/ de Julio. B n la asamblea de caballeros de la orden de Malta, que se tuvo</t>
  </si>
  <si>
    <t>Mulgrave, Lord</t>
  </si>
  <si>
    <t>Lord Mulgrave</t>
  </si>
  <si>
    <t>a y debió á su tiempo restituir el Cabo, y que no es reprehensible la conducta de los Ministros. El Lord Mulgrave diío que ya no se trataba de otra cosa que de oponerse á la ambición y engrandecimiento de la Francia , y qué los Ministros no tenían que hacer mas que presentar el estado de las</t>
  </si>
  <si>
    <t>Muller de Muchleck</t>
  </si>
  <si>
    <t>ella todas las relaciones de amistad que están en uso entre estados vecinos. El ciud. Muller de Muchleck asiste regularmente á las audiencias del Cuerpo diplomático, y le reciben con distinción los Ministros de Estado de S.M. I. El gobierno helvético ha solicitado</t>
  </si>
  <si>
    <t>Munarriz, Miguel</t>
  </si>
  <si>
    <t>Miguel Munarriz</t>
  </si>
  <si>
    <t>rs* 2 mrs- &gt; acuda en el término de 30 días, contados desde el 8 de este mes, ante e!. Sr. Alcalde D. Miguel Munarriz , y escribanía de provincia de D. Miguel García de la Madrid, que se le admitirán las que hiciese , con la precisa circunstancia de pagar en metálico 1500 rs. por el último Real v</t>
  </si>
  <si>
    <t>sitio 844 pies, y está tasada en 55,500 rs. Quien quisiere hacer postura acuda ante el Sr. Alcalde D. Miguel Munarriz, y escribanía de provincia de D. Miguel García de la Madrid , en el término de 30 dias , contados desde el 7 de este mes. Por el juzgado del Sr. Corregidor de la ciudad de Segovia</t>
  </si>
  <si>
    <t>esta provincia por su decreto de 5 del corriente ha aprobado el remate celebrado por ei Sr. Alcalde D. Miguel Munarriz, en 10 de Febrero próximo, de una casa sita en la calle de Segovia, núm. 2 , manz. 187, que pertenecía al patronato que mandó fundar D. Alfonso Pablo Julián Moreno, en la cantidad</t>
  </si>
  <si>
    <t>a las dos terceras parles en moneda metálica. Quien quisiere hacer mejora acuda ante el Sr. Alcalde D. Miguel Munarriz, y por ia escribanía de provincia de D. Miguel Joseph 'García de la Madrid. Compendio de la Historia universal: quaderno 26 ( 2.0 del tomo 7.0 ) con las 6 estampas correspondiente</t>
  </si>
  <si>
    <t>una de dichas finca# acuda ante dicho Sr. Alcalde por la citada escribanía. Por providencia del Sr. D. Miguel Munarriz, del Consejo de S. M., Alcalde de su Real casa 7 corte, se ha mandado publicar por 15 dias mas, contados desde 30 de Marzo, una casa sita en la calle de Amanuel, con accesorias á</t>
  </si>
  <si>
    <t>en moneda metálica. Quien quisiere hacer postura á una, ó mejorará otra,a,cuda ante el *Sr. Alcalde D. Miguel Munarriz, y por la escribanía de provincia de J&gt;. Miguel Oarcía de la Madrid; previniéndose que se ha señalado para su remate el dia 2 de Mayo próximo. En virtud de orden del supremo Conse</t>
  </si>
  <si>
    <t>ostura en 90© rs. baxo de varias condiciones. Quien quisiere hacer mejora acuda ante el Sr. Alcalde D. Miguel Munarriz, por la escribanía de provincia de D. Miguel García de la Madrid, en el término de 20 dias, contados desde el 4 de este mes. Hace 18 meses que se ignora el paradero de D. Joseph d</t>
  </si>
  <si>
    <t>e se venden a instancia de cierto acreedor , y dan por ellas 385,500 rs., acuda ante el Sr. Alcalde D. Miguel Munarriz , y escribanía de provincia de D. Miguel Joseph García de la Madrid , en el término de 1 5 dias, contados desde el dia 14 del corriente: previniendo se ha de rematar en el siguien</t>
  </si>
  <si>
    <t>Muñoz y Huete, Nicolás</t>
  </si>
  <si>
    <t>Nicolás Muñoz y Huete</t>
  </si>
  <si>
    <t>e otros por sus herederos á Doña Max! mi liana Muñoz y Huete, su sobrina, y á un hijo de su sobrino D. Nicolás Muñoz y Huete , cuyo nombre ig«oraba la testadora; pero sí sabia que estaba en Indias: y no teniéndose noticia del paradero de los dos, se les avisa por este medio, para que en el término de 4</t>
  </si>
  <si>
    <t>Muñoz, Ángel</t>
  </si>
  <si>
    <t>Ángel Muñoz</t>
  </si>
  <si>
    <t>n Marzo del año pasado comenzáron á propagar la vacuna en esta entidad D. Joseph Rodríguez Gavilán, D. Angel Muñoz y D. Joseph Barrera , sin que la circunstancia de ser facultativos, y de haber hecho Barrera la primera prueba en sus hijos, bastase á acreditarla. Sobrevino luego una epidemia de vir</t>
  </si>
  <si>
    <t>Muñoz, Antonio</t>
  </si>
  <si>
    <t>Antonio Muñoz</t>
  </si>
  <si>
    <t>de Pinedo, á D. Joaquín de Urrutia y las Casas: para otra de la de Sigüenza, vacante por muerte de D. Antonio Muñoz, á D. Judas Joseph Romo; y para una Capellanía llamada de los Coronas de la parroquia de S. Miguel de la ciudad de Coi ella, vacante por muerte de D. Miguel de Ibarra, áDon Matías</t>
  </si>
  <si>
    <t>Muñoz, Juan Pablo</t>
  </si>
  <si>
    <t>Juan Pablo Muñoz</t>
  </si>
  <si>
    <t>Media Ración de la catedral de Cuenca, vacante por fallecimiento de D. Antonio Mazo de la Vega , á D. Juan Pablo Muñoz , Capellán y confesor ordinario del monasterio de religiosas de S. Benito de aquella ciudad. En el regimiento de Reales Guardias Españolas se ha servido promover el Rey á Capitán</t>
  </si>
  <si>
    <t>Muñoz, Manuel</t>
  </si>
  <si>
    <t>Manuel Muñoz</t>
  </si>
  <si>
    <t>Perez de Lema: en el de Córdoba Compañía al Teniente de granaderos del mismo, graduado de Capitán, D. Manuel Muñoz; y en los batallones de voluntarios de infantería ligera segundo de Barcelona y de Campo-mayor Subtenencias de bandera á D. Elias Figueroa, Soldado distinguido del regimiento de V</t>
  </si>
  <si>
    <t>Muñoz, Pedro</t>
  </si>
  <si>
    <t>Pedro Muñoz</t>
  </si>
  <si>
    <t>in iluminar y á 9 iluminados , en casa de Escribano , calle de las Carretas, y en la del estampador D. Pedro Muñoz, calle de Atocha, frente á la casa de los Gremios. Numero xl del Memorial! iterarlo, ó Biblioteca periódica de ciencias y artes. Contiene el extracto de las obras de Sturm y de ot</t>
  </si>
  <si>
    <t>Murat, General</t>
  </si>
  <si>
    <t>General Murat</t>
  </si>
  <si>
    <t>n viage á España para apuntos propios; y que entre tanto exercerá sus funciones provisionalmente el General Murat. Ratisbona 2 de Diciembre. L a diputación extraordinaria ha oido la lectura del conclusum principal , en que están especificadas todas las indemnizaciones hechas á los diferentes</t>
  </si>
  <si>
    <t>ara Xdndres. . Liorna i.° de Junto, A caba de declararse á nuestra ciudad en estado de sitio por el General Murat, y todos los ingleses residentes aquí quedan, baxo su palabra, «orno prisioneros de guerra. Dos embarcaciones de la misma nación, con sus ricos cargamentos, han caído en manos de</t>
  </si>
  <si>
    <t>Murát, General</t>
  </si>
  <si>
    <t>General Murát</t>
  </si>
  <si>
    <t>del Colegio electoral del departamento del Lot sé ha presentado al primer Cónsul, presidida por el General Murát &gt; qúe también presidió al Colegio, en cuyo nombre hizo al xefe magistrado el discurso que se acostumbra. Manifestó en él quan satisfechos se hallaban en aquel departamento del gob</t>
  </si>
  <si>
    <t>Múreos García, Joseph</t>
  </si>
  <si>
    <t>Joseph Múreos García</t>
  </si>
  <si>
    <t>ia de Belinchon, en el mismo obispado, vacante por fallecimiento dé V&gt;. Diego Antonio Rodríguez , á D. Joseph Múreos García: para otro de las tres parroquias de Sta. María, S. Juan y S. Martin de la villa de Arjona, en la diócesis de Jaén, vacante por muerte de D. Juan Miguel Sierra, á D. Juan Bernabé</t>
  </si>
  <si>
    <t>Muriel y Gómez, Matías</t>
  </si>
  <si>
    <t>Matías Muriel y Gómez</t>
  </si>
  <si>
    <t>ónigo de ella: para una Canongía de la colegial de S. Salvador de Sevilla, vacante por promoción de D. Matías Muriel y Gómez á una Media Ración de la metropolitana de dicha ciudad, á D. Joaquín Cid Carrascal: para otra Canongía de la de Bribiesca, diócesis de Burgos, que vacó por muerte de D. Miguel Per</t>
  </si>
  <si>
    <t>Naghteñ, Juan</t>
  </si>
  <si>
    <t>Juan Naghteñ</t>
  </si>
  <si>
    <t>el de León al del mismo regimiento D. Joseph García Ollpqui: la del de Irlanda al del propio cuerpo D. Juan Naghteñ: la del de Cantabria al del de Sevilla, graduado de Coronel, D. Joseph Falques : la del de Hibernia al dél mismo cuerpo, graduado de Coronel, Di Lorenzo Flood: la del de Ultonia a</t>
  </si>
  <si>
    <t>Nansouty, General</t>
  </si>
  <si>
    <t>General Nansouty</t>
  </si>
  <si>
    <t>a siguiente, la segunda división mandada por el General Schiner, la de caballería á las órdenes del General Nansouty, recibiéron orden de ir sobre Goldenstedt, forzar el paso de Plunte, y dirigirse hacia Suhlingen, para'cortar todo lo que pudiera hallarse entre este parage y Diepholz, el que deb</t>
  </si>
  <si>
    <t>Narciso Blanco</t>
  </si>
  <si>
    <t>al Alférez D. Joseph Perez; al de Alféreces al Portaestandarte D. Juan Joseph Rodríguez y al Cadete D. Narciso Blanco, y al de Portaestandarte al Cadete D. Joseph María Uztariz. También se ha servido S. M. conferir la Sargentía mayor del regimiento de Milicias disciplinadas de caballería de la Ha</t>
  </si>
  <si>
    <t>Narciso Marcos</t>
  </si>
  <si>
    <t>iprestazgo de Silos, en la diócesis de Burgos, vacante por muerte de D. Marcos Celestino Gancedo, á D. Narciso Marcos, Cura de la parroquial de la villa de Retuerta, en</t>
  </si>
  <si>
    <t>Narciso' de Eargués</t>
  </si>
  <si>
    <t>exactitud con que respondieron á todas laspreguntas, causó admiración. Al primero,.cuyo padrino fue D. Narciso' de Eargués y deCaramany , se le dieron los nombres de Joaquín, Narciso y Joseph; y al segundo, de quien lo fué D. Joseph de Pastors y de Mercader , los de Damian, Joseph y Narciso. En seguida se</t>
  </si>
  <si>
    <t>NarcisoDongo, Joseph</t>
  </si>
  <si>
    <t>Joseph NarcisoDongo</t>
  </si>
  <si>
    <t>o Baeza: para esta Tesorería al Canónigo D. Carlos Joseph Rodríguez y para la Canongía al Racionero D. Joseph NarcisoDongo. Asimismo se ha dignado nombrar para la Dignidad de Dean de la metropolitana de Lima, vacante por muerte del Dr. D„ Joaquín de Carvajal y Vargas, á D. Francisco de Santiago Concha</t>
  </si>
  <si>
    <t>Naudin, Vicente</t>
  </si>
  <si>
    <t>Vicente Naudin</t>
  </si>
  <si>
    <t>os D. Joseph Laxara: en el de Valencia Tenencias á los Subtenientes de granaderos D. Isidro Alonso, D. Vicente Naudin y D. Juan Bautista Jayme: én el de León Subtenencia de bandera al Sargento primero D. Pedro Miquelez : en el de Irlanda Compañía al Teniente de granaderos, graduado de Teniente Corone</t>
  </si>
  <si>
    <t>Nava, Gaspar María</t>
  </si>
  <si>
    <t>Gaspar María Nava</t>
  </si>
  <si>
    <t>librería de Argueta y compañía, calle de la Montera, á 12 rs. en rústica y 15 en pasta. Poesías de D. Gaspar María Nava, Conde de Noroña , que contienen odas , sonetos , anacreónticas, silvas, canciones, la oda de la paz, y el poema filosófico de la muerte: dos tomos en 8.°, papel fino. Véndese en</t>
  </si>
  <si>
    <t>Navarrete, Antonio</t>
  </si>
  <si>
    <t>Antonio Navarrete</t>
  </si>
  <si>
    <t>alacios; y atendiendo al zelo y aplicación con que se han distinguido en los exercicios jsjl^asante D. Antonio Navarrete y el leccionista D. Pedro Rodríguez ‘ipizquez, tuv© á bien el Colegio hacer una demostración de afecto á favor de. dichos dos sugesos , premiando al primero con un exemplar de la obra</t>
  </si>
  <si>
    <t>Navarro y María Caudevila, Francisco Xavier</t>
  </si>
  <si>
    <t>Francisco Xavier Navarro y María Caudevila</t>
  </si>
  <si>
    <t>huérfanos de S. Vicente, nuestra Señora de la Misericordia, y fundaciones de D. fuaii Bautista Mas, D. Francisco Xavier Navarro y Doña María Caudevila, baxo las mismas condiciones y examen-----Para estimular á la buena educación en otras ciudades de este Rey 110, y por no haberse podido verificar en el año anterior, los 6 premio</t>
  </si>
  <si>
    <t>Navarro y Pont, Juan Bautista</t>
  </si>
  <si>
    <t>Juan Bautista Navarro y Pont</t>
  </si>
  <si>
    <t>anongía de la catedral de Cartagena, vacante por fallecimiento de D. Francisco Xavier de Molina ¿.á D. Juan Bautista Navarro y Pont: para un Beneficio de la parroquial de la villa del Carpió, en la diócesis de Córdoba, vacante por muerte de D. Cárlos Saveli Spínola, á D. Félix Domínguez Torrado; y para otro pa</t>
  </si>
  <si>
    <t>Navarro, Francisco Antonio</t>
  </si>
  <si>
    <t>Francisco Antonio Navarro</t>
  </si>
  <si>
    <t>falleció en dicha ciudad el 6 de Marzo de dicho año,hija de D. Pedro Joseph de Navarro, y nieta de D. Francisco Antonio Navarro, Mayor General que fué al servicio de la casa de AustriaJ y Gobernador que también fué de la referida ciudad de Malinas, viuda de D. Daniel Segismundo de Hake, Capitán en el Regim</t>
  </si>
  <si>
    <t>Navarro, Joaquín</t>
  </si>
  <si>
    <t>Joaquín Navarro</t>
  </si>
  <si>
    <t>oseph Juncar y D. Martin García y Loigorri; ai Xefe de brigada D. Juan de Hara y al Capitán primero D. Joaquín Navarro: á los de Ingenieros D. Juan Casanova y D. Antonio Jacot; y á ios Sargentos mayores de brigada D. Antonio Benavides y D. Mariano Fernandez de Folgueras. De Teniente Coronel, tambi</t>
  </si>
  <si>
    <t>el de España al Teniente, graduado de Capitán, D. Cayetano Lacalle, y al Subteniente de granaderos D. Joaquín Navarro: á Subteniente de bandera en el de Burgos al Sargento primero de granaderos D. Antonio García: á Subtenientes de bandera en el de León y en el segundo batallón de Voluntarios de C</t>
  </si>
  <si>
    <t>Navarro, Joseph</t>
  </si>
  <si>
    <t>Joseph Navarro</t>
  </si>
  <si>
    <t>íquido de la venta dduna casa sita en esta corte, calle del Nuncio, núm. 43 , manz. 150, que poseyó D. Joseph Navarro del. Rey ; y aunque se ha cumplido el término de los edictos que se fixároiL por el de 14 meses llamando á los interesados en ella, no han comparecido , y ahora ele nuevo se cita y em</t>
  </si>
  <si>
    <t>Navarro, Juan</t>
  </si>
  <si>
    <t>Juan Navarro</t>
  </si>
  <si>
    <t>ante por muerte de D. Tomas Llopis, á D. Pedro Pablo Mazo. En atención á los méritos y servicios de D. Juan Navarro , Director general de alcabalas del Reyno de Nueva España, se ha dignado S. M. concederle los honores del Consejo supremo de Hacienda. En la Administración general de las aduanas</t>
  </si>
  <si>
    <t>tedr^Ld’e Canaria, vacante por fallecimiento de D. Joseph Icaza y Cabré jas, áD/Juan Navarro, Racionero de ella: para otra Canongía de la catedral de Avila, vacante por promoción de D. Vicente Soto Valcarce á la Mi</t>
  </si>
  <si>
    <t>Navarro, Manuel</t>
  </si>
  <si>
    <t>Manuel Navarro</t>
  </si>
  <si>
    <t>cho de la imprenta Real; en el Real sitio de Aranjuez en la tienda del Rubio; y en Cádiz en casa de D. Manuel Navarro. Los Interesados en la testamentaría de D. Juan de Acedos Bravo, Aqente que lu® de negocios en esta corte, comparecerán dentro de 30 días, contados desde el</t>
  </si>
  <si>
    <t>cho de lt imprenta Real; en el Real sitio de Aranjuez en la tienda del Rubio; y en Cádiz en casa de D. Manuel Navarro. Quien quisiere comprar una casa, sita en la calle de la Esgrima de esta corte, núm. 3, manz. 46, tasada en 45,666 rs., acuda ante el Sr. D. Manuel de Torres, Teniente Corregidor</t>
  </si>
  <si>
    <t>io de España del mes de Enero se hallará en el despacho de la imprenta Reai , y en Cádiz en casa de D. Manuel Navarro. Se subscribe en Madrid en el despacho de dicha imprenta , y en las provincias en todas las administraciones principales y agregadas de Correos. Contiene este Mercurio en la parte</t>
  </si>
  <si>
    <t>de la imprenta Real; en el Real sítfo dé S. Ildefonso en la tienda del Rubio, y en Cádiz en casa de D. Manuel Navarro. Contiene en ia parte política: no¿ ticias del Parlamento ingles, y causa del Coronel Despard: acta de mediación del primer Cónsul de Francia entre los partidos.de Suiza-, decreto</t>
  </si>
  <si>
    <t>e la imprenta Real-, en el Real sitió de S. Ildefonso en Ja tienda del Rubio, y en Cádiz en casa de D. Manuel Navarro. Contiene en Ja parte política; noticias de Rusia y del Parlamento ingles; arreglo del departamento de' la Guerra del Emperador de Alemania : juntas de la diputación extraordinari</t>
  </si>
  <si>
    <t>la imprenta Real; en el Real sitio de S. Ildefonso en la tienda del Rubio , y en Cádiz ,en casa de D. Manuel Navarro. Contiene en la parte política : noticias del Parlamento ingles: capitulación del Cabo de Buena-Esperanza: juntas de la Diputación extraordinaria del Imperio: reglamento de la esc</t>
  </si>
  <si>
    <t>de la imprenta Real; en el Real sitio de S. Lorenzo en Ja tienda del Rubio , y en Cádiz en casa de D. Manuel Navarro. Contiene en la parte política: noticias de Turquía y de Rusia : ukase sobre la instrucción publica : debates del Parlamento ingles, incidentes sobre el punto de resarcimientos de</t>
  </si>
  <si>
    <t>de la imprenta Real ; en el Real sitio de S. Lorenzo en la tienda del Rubio, y en Cádiz en casa de D. Manuel Navarro. Contiene en la parte política: el mea</t>
  </si>
  <si>
    <t>de la imprenta Real ; en el Real sitio de S. Lorenzo en la tienda del Rubio, y en Cádiz en casa de D. Manuel Navarro. Contiene en la parte política : noticias de Turquía y Alemania : el discurso de Mr. Pitt sobre las negociaciones con la Francia: varias reflexiones extractadas del Semanario polí</t>
  </si>
  <si>
    <t>de la imprenta Real; en el Real sitio de S. Lorenzo en la tienda del Rubio, -y en Cádiz en casa de D. Manuel Navarro. Contiene noticias de Turquía: del Parlamento ingles : el decreto de la comisión imperial á la Dieta general del Imperio del 30 de Junio : la declaración de guerra de la República</t>
  </si>
  <si>
    <t>de la imprenta Real ; en el Real sitio de S. Lorenzo en la tienda, del Rubio, y en Cádiz en casa de D. Manuel Navarro. Contiene en la parte política;; el discurso hecho al Rey de Inglaterra, y el del Rey á las Cámaras para prorogar el'Parlamento: el decreto de la corte imperial relativo á la intr</t>
  </si>
  <si>
    <t>de la imprenta Real ; en el Real sitio de S. Lorenzo en la tienda del Rubio, y en Cádiz en casa de D. Manuel Navarro. Contiene en la parte política: noticias de Egipto y de la secta de losWhaabys: disposiciones tomadas por la Rusia en favor délos nuevos colonos: noticias de Inglaterra y Alemania</t>
  </si>
  <si>
    <t>Nebot, Miguel</t>
  </si>
  <si>
    <t>Miguel Nebot</t>
  </si>
  <si>
    <t>amos Novillo. S. M. ha nombrado para el empleo de Alguacil mayor de la Real Audiencia de Valencia á D. Miguel Nebot. . En América. En el regimiento de infantería de Buenos-Ayres se I13 servido el Rey promover ájCapitanes al Ayudante D. Luis Lahite y á los Tenientes de granaderos:D. Sebastian Pl</t>
  </si>
  <si>
    <t>Necker</t>
  </si>
  <si>
    <t>cimiento de rentss provinciales en un pie ventajoso al público y al estado , que trabajó y presentó Mr. Necker, ex-Ministro déla Real Hacienda de Francia : traducida é ilustrada con notas por D. Domingo de la Torre y Mollinedo, Oficial mayor de la Contaduría del cargo de la Superintendenci</t>
  </si>
  <si>
    <t>Nelson, Almirante</t>
  </si>
  <si>
    <t>Almirante Nelson</t>
  </si>
  <si>
    <t>les, llevando á su bordo al Secretario de legación de Inglaterra con despachos para la esquadra del Almirante Nelson , que se hallaba cruzando delante de Tolon , y desde donde continuará su viage con despachos para su gobierno con motivo de tener cortada toda otra comunicacipn con Inglaterra. An</t>
  </si>
  <si>
    <t>tualmente los puertos principales del Reyno de Ñápeles, y que se preparan para ocupar á Sicilia. El Almirante Nelson ha hecho venir de Malta algunos miles de soldados que .deben desembarcar en Mesina ,vSira.cusa &amp;c. Las tropas francesas, mandadas por el Gene&lt;al Saint-Cyr, ocu-i pan ios dos Abruz</t>
  </si>
  <si>
    <t>ger su marina mercante, é interceptar las embarcaciones enemigas; y que se ignoraba el paradero del Almirante Nelson. Angers jo de Setiembre. E 1 Prefecto de este departamento ha mandado que sus Tenientes visiten mensualmente los hospitales y las cárceles, para enterarse de si se da buen trato á</t>
  </si>
  <si>
    <t>ta., .Milán 21 de Setiembre, E scriben de Nápoles , con fecha de 3 de este mes, que la esquadra del Almirante Nelson se mantiene en las costas de Sicilia, y que hacia pocos días que había recibido un refuerzo de muchos buques con tropas de desembarco. Roma 24 de Setiembre. * E l día 12 se celebr</t>
  </si>
  <si>
    <t>derable para mantener un instituto de medicina clínica en sus hospitales. Grénova 4 de Octubre. E 1 Almirante Nelson está cruzando en las aguas de Tolon, y se dice que piensa hacer una tentativa contra este puerro, con designio de destruir los astilleros, almacenes y buques que hay en él; pero las</t>
  </si>
  <si>
    <t>rtas de Abo , en Finlandia, con fecha del^9, ha perecido en el Báltico un buque ingles, nombrado el Almirante Nelson, cargado de a-zucar, arroz y paños finos por el valor de 20 á 30© esterlinas; pero el equipage se lia salvado por el auxilio del Capitán Ranson , comandante del bergantín Frens. E</t>
  </si>
  <si>
    <t>Nelson, Lord</t>
  </si>
  <si>
    <t>Lord Nelson</t>
  </si>
  <si>
    <t>i la sabiduría de la Cámara de los Comunes; mas no por eso dexaba de parecería poco conveniente. El Lord Nelson confeso que las facultades que el bilí concedía, eran sin duda bien amplias; pero que sin embargo erad proporcionadas al mal que se trataba de curar. El dia siguiente se’Volvió á</t>
  </si>
  <si>
    <t>ta del Chanciller del Echiquier. Aun no está decidida la suerte del Coronel Despard. Se dice que et Lord Nelson ha presentado á Mr. Adington una súplica de su parte. Entre tanto el Coronel pasa el tiempo escribiendo, y aun ha pedido le permitan tener un escribiente. Un violento incendio ha</t>
  </si>
  <si>
    <t>sus antiguos estados, habiendo fixado su residencia en Viena, / Londres 9 de Abril. D ícese que el Lord Nelson se embarcará pronto en la fragata *la Anfión de 32 cañones, é irá á tomar el mando en xefe de la esquadra del Mediterráneo, y entonces se embarcará en la "Victoria de 110 cañones_</t>
  </si>
  <si>
    <t>del navio la Ciudad de París___ La fragata Anfión está en Portsmouth dispuesta á recibir á bordo al Lord Nelson para llevarlo al Mediterráneo , en caso que principien las hostilidades. Parece que ya está impresa toda la correspondencia entre nuestro gobierno y el de Francia , y pronta para</t>
  </si>
  <si>
    <t>l Almirante Cornwallis, que cruza delante de Brest, consiste en 14 navios de línea y 3 fragatas. El Lord Nelson salió el 21 para el Mediterráneo—^-En virtud de una orden del Almirantazgo la esquadra de la Mancha tendrá víveres para S meses. v</t>
  </si>
  <si>
    <t>canal de S. Jorge baxo del cabo Clear con un buque de la compañía inglesa de la India, nombrado el Lord Nelson , y muy superior al suyo en equipage y artillería. Conociendo su inferioridad, dirigió todos sus esfuerzos ai abordage, y aunque estaba el mar furioso , logró prenderse ¿el buque</t>
  </si>
  <si>
    <t>pero se ignora su destino. Ha llegado cié Bengala á Plimouth el navio de la India de 26 cañones el Lord Nelson ricamente cargado. Fue apresado el 14 de Agosto por el corsario francés la Belona de 28 después de un terrible combate, y el 27 del mismo mes fue de nuevo apresado por el navio de</t>
  </si>
  <si>
    <t>Nelton, Lord</t>
  </si>
  <si>
    <t>Lord Nelton</t>
  </si>
  <si>
    <t>, quando encontró en 13 de Agosto , cerca de la bahia de Bantry, el navio de la compañía inglesa el Lord Nelton, que montaba 26 cañones de á 18 y de á 12 ,con una tripulación .de 150 hombres: la que tenia el Belona se habia disminuido en las presas hechas anteriormente, y tenia á bordo 56'p</t>
  </si>
  <si>
    <t>Nepoinuceno Schwager, Juan</t>
  </si>
  <si>
    <t>Juan Nepoinuceno Schwager</t>
  </si>
  <si>
    <t>aderos al primero de fusileros X&gt;. Beda Conde deThurn; empleos de Capitanes primeros á los segundos D. Juan Nepoinuceno Schwager y D. Gaspar NeíF; ,empleo de Capitán .segundo-al Ayudante D. Joseph Martin Stejnhauser; Tenencias de fusileros á los Subtenientes de granaderos D. Jacobo Turquí, D. Xpis Pigíiat -y D.</t>
  </si>
  <si>
    <t>Nepojmiceno Cabrera, Juan</t>
  </si>
  <si>
    <t>Juan Nepojmiceno Cabrera</t>
  </si>
  <si>
    <t>$e ha servido nombrar para una Media-Raeion de la metropolitana de Santa Fe, vacante por ascenso de D. Juan Nepojmiceno Cabrera á una Ración de la misma, á D. Manuel Agustín de Guinea, Cura párroco de S. Victorino de la propia ciudad. S. M. se ha dignado conceder el empleo de Comandante del batallón fixo d</t>
  </si>
  <si>
    <t>Nepomuce, Juan</t>
  </si>
  <si>
    <t>Juan Nepomuce</t>
  </si>
  <si>
    <t>rcjon, y el dictamen que sobre ella ha dado á la Sociedad el Director de la misma escuela de dibuxo D. Juan Nepomuce110 Cónsul, adjudicó el 2° á D. Joseph Thio Ruster, y el 3.0 á D, Francisco Paredes, gratificando árD. Ricardo Palacib y D. Santiago Parrado con 1 oors. á cada, uno/deh fondo de ia</t>
  </si>
  <si>
    <t>Neri, Juan Sebastián</t>
  </si>
  <si>
    <t>Juan Sebastián Neri</t>
  </si>
  <si>
    <t>promoción de D. Torquato Antonio Collado á la plaza de Teniente segundo de Corregidor de Madrid, á D. Juan Sebastian Neri; y para el de la ciudad de Ubeda á D. Francisco Xavier Lozano y Avellan , que son los dos Alcaldes mayores que había. en la ciudad de Cádiz. En América* El Rey se ha servido nombr</t>
  </si>
  <si>
    <t>Ney, General</t>
  </si>
  <si>
    <t>General Ney</t>
  </si>
  <si>
    <t>se introduzcan en la República, procedentes de las escalas de Levante. JBerna j de Diciembre. E. .1 General Ney ha recibido orden del Ministro de la Guerra para que se conduzcan á Lausana todos los cañones, armas, municiones y demas objetos que se han recogido al tiempo de desarmar los cant</t>
  </si>
  <si>
    <t>ha elegido á los ciudadanos Kaiser y Y'onfiue para igual encargo. Estos dias fué conducido ante el General Ney el redactor de uno de los diarios de Berna, á causa de cierros puntos que en ellos se tocaban; por cuyo motivo ha mancado dicho General que .no se publique ningún periódico sin pasa</t>
  </si>
  <si>
    <t>as las reclamaciones y demandas que se hagan por resarcimiento de perjuicios en las propiedades. El General Ney, habiendo sabido que varios comandantes de las tropas francesas exigen una paga crecida de parte de las municipalidades para servir de suplemento á las legumbres que no se. les su</t>
  </si>
  <si>
    <t>ue esten concluidos definitivamente los asuntos dei Imperio germánico. Basilea 14 de Diciembre. E 1 General Ney piensa dar una vuelta por los cantones orientales de la República helvética, para pasar revista, á las tropas que allí se hallan. Xas cabezas principales de Los insurgentes del pa</t>
  </si>
  <si>
    <t>ocados extraordinariamente para el miércoles próximo 22 de este mes. l3asilea. 79 de Diciembre. E 1 General Ney ha dado orden para que las tropas francesas no esten alojadas en las casas, en qualquier pueblo donde haya qu arteles. El gobierno francés ha entregado nuevamente á la República h</t>
  </si>
  <si>
    <t>á principios del invierno. Para precaver los desordenes que amenazan á estos, cantones, enviará el General Ney algunas tropas aL mando del ciud. Conté. A pocos pasos de nuestras fronteras se ha levantado un soberbio monumento en memoria de la valerosa resistencia con que el rexércíto del R</t>
  </si>
  <si>
    <t>la Suiza alemana, para que quedasen' depositadas en los arsenales de Berna, Zurich, Lucerna &amp;c. El General Ney rio ha podido condescender á estos deseos, por haber recibido Órdenes terminantes de eriviar la artillería, armas y municiones á las ciudades del país de Varid, donde han llegado</t>
  </si>
  <si>
    <t>hasta ahora no se había conocido. Asegúrase que causa particulares estragos. Berna 20 de Enero. E 1 General Ney ha anunciado al Consejo de execucion que había enviado un destacamento de infantería á los cantones italianos para activar el pago del impuesto de guerra. Parts 2 de Febrero. E 1</t>
  </si>
  <si>
    <t>0® florines. Basilea $ de Febrero. E I exército francés que se halla en esta República al mando del General Ney, se repartirá en varios pueblos, según el plan que se ha publicado estos dias. A las ordenes de dicho General estará el de división Barbou, y los de brigada Serras y Eppler. El qu</t>
  </si>
  <si>
    <t>a ido á Zuricli á prevenir, según dicen, los quarteles. .Berna $ de Febrero. H abiéndose quejado el General Ney ai gobierno helvético del contrabando que se hacia por la Suiza en las fronteras de Francia, ha dirigido el-Consejo de execucioiF una proclama enérgica á los Prefectos nacionales</t>
  </si>
  <si>
    <t>a cabeza y sean desquartizados, quedando los quartos á disposición del Rey. Berna $ de Febrero. E 1 General Ney. ha dirigido al ciud. Mohr , Ministro de Relaciones exteriores de la Helvecia , la carta siguiente : „Los informes que he recibido directa é indirectamente sobre la situación inte</t>
  </si>
  <si>
    <t>á la facultad de recibir oficiales retirados en los cuerpos de milicias. Friburgo 2 $ de Marzo. E I General Ney ha llegado á esta ciudad con su plana mayor. Ya ha recibido nuevas credenciales del primer Cónsul en calidad de Ministro plenipotenciario de la República francesa cerca de los 19</t>
  </si>
  <si>
    <t>o son concernientes al futuro estado militar de la Suiza. Una comisión de la Dieta concluirá con el General Ney un tratado relativo á las tropas suizas que puede suceder sirvan al sueldo de la Francia. Como ya se goza de la mayor tranquilidad y tenemos una constitución estable, se ha tratad</t>
  </si>
  <si>
    <t>gobierno francés; lo qual le ha comunicado de oficio el Landamman, en nombre de la Dieta, al mismo General Ney. ,, El proyecto de alianza ha encontrado mas dificultades, por el temor de implicar en adelante la Suiza en las guerras continentales que la Francia pueda tener:-Xa discusión de,</t>
  </si>
  <si>
    <t>misiones diplomática y militar de la Dieta han tenido en éstos dias freqiientes conferencias con el General Ney, Ministro francés, á quien han comunicado las instrucciones que habían recibido, y en cuya conformidad han tratado con él sobre el proyecto del tratado de alianza y subsidios. Dif</t>
  </si>
  <si>
    <t>arará hasta la venida de Mr. Rouhieres, Secretario de la legación francesa , enviado á París por el General Ney para dar cuenta al primer Cónsul del resultado de las conferencias de este General con la junta nombrada por la Dieta para negociar el tratado de alianza y de subsidios que estamo</t>
  </si>
  <si>
    <t>. Se evita ahora mas que nunca el separarse de las disposiciones de nuestro acto constitucional. El General Ney, Ministro de la República francesa, saldrá de Suiza como unos 1^ dias después de la separación de la Dieta. El día 15 se ha celebrado en Zurich con mucha solemnidad, el aniversari</t>
  </si>
  <si>
    <t>Nicasio Aivarez de Cienfuetjos</t>
  </si>
  <si>
    <t>Sta. Cruz, director de Ja Real academia española, leído en Ja junta de 11 de Noviembre de rdo2 por D. Nicasio Aivarez de Cienfuetjos, académico del número. Se hallará en el despacho de libros de la misma academia, calle de Vaíverde. Semanario de'agricultura y artes: tomo xir: trata del sistema que conviene segu</t>
  </si>
  <si>
    <t>Nicasio Augustin</t>
  </si>
  <si>
    <t>la en vales Reales, ó plazos diferentes : para tratar de dicha venta se podrá hacer en Palencia con D. Nicasio Augustin , vecino de dicha ciudad, ó en Madrid con D. Angel Escudero Guzman, Agente de negocios del número de Indias, calle de la Gorguera. En la villa de Bernaeo* Señorío de Vizcaya, se h</t>
  </si>
  <si>
    <t>Nicme, Julián</t>
  </si>
  <si>
    <t>Julián Nicme</t>
  </si>
  <si>
    <t>Emperador de Rusia. Ei mismo convite de ir á Peteisburgo ha hecho S. M. al compañero de líosciusko Mr. Julián Nicme&amp;e^dt^, ^q,ue Jia vuelto de Iqs Estados Unidos de América, en donde se ha hecho un buen establecimiento. El frió excesivo que experimentamos ha causado aquí muchas desgracias. En t</t>
  </si>
  <si>
    <t>Nicolai</t>
  </si>
  <si>
    <t>aría hostilmente contra el Reyno de Ñapóles. El Ministro del Elector de Wurtemberg, en Petersburgo, Mr. Nicolai, ha vuelto á Berlín, de donde saldrá inmediatamente para Sttutgard. Trae ricos presentes, que el Emperador de Rusia y su familia regalan al Elector su amo y á la esposa de este. E</t>
  </si>
  <si>
    <t>Nicolás'Moreno</t>
  </si>
  <si>
    <t>i,y D. Manuel Santander: en el de húsares de María Luisa Compañía al Ayudante, graduado de Capitán, D. Nicolás'Moreno,' y para esta resulta al Teniente D. Cárlos Borelli; y en el de húsares dé Oiivencia los empleos de Alféreces al Cadete D. Manuel García Segoviá y al Sargento primero D. Joaquín d</t>
  </si>
  <si>
    <t>Nitelas Perezy</t>
  </si>
  <si>
    <t>El santo Concilio de Trento én latín, última edición en ui¿&gt;to»ád ta 4.%.«erregido y aumentado por D. Nitelas Perezy y cotejado por 25 ekemphnés extrange* .xos, adornado con muchas notas que manifiestan las variantesyfe las ediciones, y «tras que aclaran varios puntos críticos* So hallará en papel</t>
  </si>
  <si>
    <t>Nlcasio Álvarez de Cienfuegos</t>
  </si>
  <si>
    <t>nte á S. Felipe el"Real. Elogio de D. Joseph Almarca, leído en la Sociedad patriótica de Madrid por D. Nlcasio Alvarez de Cienfuegos. Se hallará á 4 rs. en la librería de Castillo, frente á S. Felipe el Real. Causas de la escasez y deterioro de los caballos de España, y medios de mejorarlos, demostradas en dos</t>
  </si>
  <si>
    <t>Ñogues, General</t>
  </si>
  <si>
    <t>General Ñogues</t>
  </si>
  <si>
    <t>as las municiones necesarias para bombear á Boloña. El Jueves, último llegaron á Glocester-House el General Ñogues, Gobernador que fue de Sta. Lucía, y su Edecán, que vénian á bordó de La Gloria, apresada por el corsario Eliza de Bristol. S. A. R. el Duque de Cumberland los recibió con la mayo</t>
  </si>
  <si>
    <t>Nolasco de Llano, Pedro</t>
  </si>
  <si>
    <t>Pedro Nolasco de Llano</t>
  </si>
  <si>
    <t>96 imdas: escrito porel Lie. D. Pedro Nolasco de Llano, Abogado de la Real Chati-, ciílería de k ciudad de Granada y de su ilustre Colegio, Corregidor y Capitán 4 &gt; guerra que ha sido de la de Medinasidonía: tercera edición nuevamente</t>
  </si>
  <si>
    <t>Nolasco de Vadillo, Pedro</t>
  </si>
  <si>
    <t>Pedro Nolasco de Vadillo</t>
  </si>
  <si>
    <t>lpuesta, diócesis de Burgos, vacante por renuncia que hizo de ella D. Santiago Izar de la Fuente, á D. Pedro Nolasco de Vadillo,Cura del lusar de Zavalla, en aquel arzobispado: para un Beneficio de la parroquia de Albaygar, diócesis de Pamplona, vacante por muerte de D. Juan Fernandez , á D. Ramón Labeaga,</t>
  </si>
  <si>
    <t>Nolasco y Don, Pedro</t>
  </si>
  <si>
    <t>Pedro Nolasco y Don</t>
  </si>
  <si>
    <t>S. M. se ha dignado promover á Alféreces del regimiento de dragones de Buenos-Ayres á los graduados D. Pedro Nolasco y Don. Christobal Minguez , Sargentos Veteranos del de milicias de caballería del mismo Buenos-Ayres. El Rey se ha servido conferir el Gobierno militar y político de la provincia del Nu</t>
  </si>
  <si>
    <t>Nolla, Juan</t>
  </si>
  <si>
    <t>Juan Nolla</t>
  </si>
  <si>
    <t>ignidad de la mistna iglesia, á D. Pedro Trejo Calleja: para una Canongía de la catedral de Urgel á D. Juan Nolla: para una Ración de la parroquial de la villa de Benabarre, diócesis de Lérida, á D. Antonio Balaguer; y para el Beneficio tercero, fundado en la capilla de Santa Anastasia de la</t>
  </si>
  <si>
    <t>Norbertó Monterola</t>
  </si>
  <si>
    <t>de los regimientos de Milicias disciplinadas de Voluntarios de caballería de Salta y del Tucuman á D. Norbertó Monterola, Teniente del regimiento de dragones de Buénos-Ayres, y a D. Juan Ramóií Valcarce, Teniente del cuerpo de caballería de Blandengues del mismo Buenos-Ayres. La Real junta de hospit</t>
  </si>
  <si>
    <t>Norbury y del Barón Georges, Lord</t>
  </si>
  <si>
    <t>Lord Norbury y del Barón Georges</t>
  </si>
  <si>
    <t>e alta traición ha tenido hoy su primera junta , que se compone de Mrs. Downes, Finucaue, Daly, del Lord Norbury y del Barón Georges. Mr. Downes presento el acto de acusación, y exhortó á los jurados á cumplir su encargo con firmeza é imparcialidad, y luego se presentaron 16 acusados, que el dia 30 del corrient</t>
  </si>
  <si>
    <t>Norie, Joseph Antonio</t>
  </si>
  <si>
    <t>Joseph Antonio Norie</t>
  </si>
  <si>
    <t>misma iglesia: para uña Ración de la de SantiLlana¡ diócesis de Santander, vacante por ascenso d.e D. Joseph Antonio Norie-» ga á una Canongía de la propia colegial, á D. Joseph Perez Garzón; y para una Media-Ración de la catedral de Calahorra, vacante por promoción de D. Joseph Emeterio de Tovar á una</t>
  </si>
  <si>
    <t>Noriega y Robredo, Ignacio</t>
  </si>
  <si>
    <t>Ignacio Noriega y Robredo</t>
  </si>
  <si>
    <t>de letras déla ciudad de Patencia á D. Dionisio María de Montalbo: para el de la de Velez-Málaga á D. Ignacio Noriega y Robredo: para el de la villa de Requena á D.Joseph Reyg y Ferie j y para el de la de Ponferrada á Don Joseph Melitcn de Navas. En América. Ei Rey se ha servido nombrar para una Canongía d</t>
  </si>
  <si>
    <t>Noriega, Francisco</t>
  </si>
  <si>
    <t>Francisco Noriega</t>
  </si>
  <si>
    <t>, primera de la, ciudad de Granada, á D. Francisco-Velasco y Ferrandiz: para la deja'de Santander á D. Francisco Noriega: para el Corregimiento de Letras de la villa de Arévaio á D. Justo Martínez de Baños; y para el de Medina del Campo , que este dexa, á D. Manuel Liorca y Agulló. Habiendo. vistaS.</t>
  </si>
  <si>
    <t>Noriega, Joseph Antonio</t>
  </si>
  <si>
    <t>Joseph Antonio Noriega</t>
  </si>
  <si>
    <t>de Santillana, diócesis de Santander, vacante por fallecimiento de D. Joseph Perez de la Sierra, á D. Joseph Antonio Noriega, Racionero de la misma colegial: para otra Canongía de la colegial del Sacromonte de Granada, vacante por muerte de D. Antonio de la Oliva y Gago, á D. Cayetano Márquez, Colegial</t>
  </si>
  <si>
    <t>Noroña, Sebastián</t>
  </si>
  <si>
    <t>Sebastián Noroña</t>
  </si>
  <si>
    <t>mayor dei mismo cuerpo, y Compañía en el esquadron de dragones de América, fixo de aquella plaza, á D. Sebastian Noroña, Ayudante mayor dei propio esquadron. A los fabricantes de paños de la villa de Onteniente, en el reyno de Valencia, se ha servido el Rey concederles permiso para poner el escudo</t>
  </si>
  <si>
    <t>Notario, Domingo</t>
  </si>
  <si>
    <t>Domingo Notario</t>
  </si>
  <si>
    <t>de Navarra y Málaga se ha servido S. M. promover á Subtenientes de bandera á los Sargentos primeros Don Domingo Notario y D. Andrés González: á Subteniente de bandera en el del Príncipe al Sargento primero de granaderos D. Antonio Olivares: á Teniente en el Suizo de Betschart al Subteniente de granader</t>
  </si>
  <si>
    <t>Nótario, Ignacio</t>
  </si>
  <si>
    <t>Ignacio Nótario</t>
  </si>
  <si>
    <t>á D. Antonio. López Castañeda: para una Canongía de la catedral de Zamora, vacante por promoción de D. Ignacio Nótario al Deanato de la misma catedral, a D. Nicolás Bayon y Girón : pava otra Canongía de la catedral de Palencia, vacante por muerte de ¿.Rafael Caballero Calderón, á D. Anselmo de Sot</t>
  </si>
  <si>
    <t>Novoa, Vicente</t>
  </si>
  <si>
    <t>Vicente Novoa</t>
  </si>
  <si>
    <t>o se da este aviso para su devolución, en Sevilla á los mismos Monasterio y Liaría, .y en Madrid al D. Vicente Novoa, que se halla con su regimiento de guarnición en esta plaza. Manual del christiano, con los exercicios de la mas sólida piedad, dedicado á Jos pobres de Jesuchristo: un tomo en 8.</t>
  </si>
  <si>
    <t>Ntra, Princesa</t>
  </si>
  <si>
    <t>Princesa Ntra</t>
  </si>
  <si>
    <t>. Gabriel hasta su fallecimiento, continuándolo en el de S. M. hasta que fue nombrado para el de la Princesa Ntra. Sra. ; acreditando siempre el amor y respeto á nuestros augustos Soberanos; su zelo en el cumplimiento de su obligación y demas prendas que le adornaban, mereciendo el aprecio de</t>
  </si>
  <si>
    <t>é Infantes, complacidos aí ver los dichos capullos, se dignaron igualmente de aceptar algunos; y la Princesa Ntra. Sra. se sirvió mandar que se participase al referido Desembargador como se proponía hacer una cria ae gusanos de seda, y actual*mente en el mismo quarto de S. A. R. se está sacan</t>
  </si>
  <si>
    <t>Mencionado en una noticia de la Gazeta extraordinaria.</t>
  </si>
  <si>
    <t>Gazeta extraordinaria</t>
  </si>
  <si>
    <t>2 cocheros y 2 mancebos, en que iban el Excmo. Sr. Marques de Villafranca, Caballerizo mayor de la Princesa Ntra. Sra.; el Excmo. Sr. Duque de Montemar, Mayordomo mayor de S. A.; el primer Caballerizo Marques de Sotomayor, y el Mayordomo de semana de servidumbre en dicho dia, Marques de Font</t>
  </si>
  <si>
    <t>ocheros, 2 lacayos y 2 mancebos cada uno. ; 19. Un coche para la Sra. Camarera mayor y Damas de la. Princesa Ntra. Sra. como los antecedentes. 20. Seis coches para las Señoras de Honor , en la propia forma que los demas. , 21. Tres coches sobresalientes á prevención , con el mismo</t>
  </si>
  <si>
    <t>Ntros, Princesa</t>
  </si>
  <si>
    <t>Princesa Ntros</t>
  </si>
  <si>
    <t>io de Sá, conr servador de la Real compañía del hilado y torcido de la seda, presentó al Príncipe y Princesa Ntros. Sres. dos vasos con unos ramos en que los gusanos.de seda habían hilado sus capullos , pertenecientes á la cria que el Consejero Joaquin Pedro Quintelia'hizo en una quinta suya.</t>
  </si>
  <si>
    <t>Nu, Manuel</t>
  </si>
  <si>
    <t>Manuel Nu</t>
  </si>
  <si>
    <t>el Real, territorio de la abadía de Samos, va^ cante por muerte de D. Nicolás Antonio Rodríguez, á D. Manuel Nu, ñez Bustamante : para otro de la parroquia de Móstoles, arzobispado de Toledo, vacante por promoción de D. Joseph Viu á una Canongía de la metropolitana de Toledo, á D. Pedro Ang</t>
  </si>
  <si>
    <t>Núñez Casqueyro, Santiago</t>
  </si>
  <si>
    <t>Santiago Núñez Casqueyro</t>
  </si>
  <si>
    <t>l de la Vara de Alcalde mayor de la de Burgos á D. Diego Ignacio Goñi: para la de la de Plasencia á D. Santiago Nuñez Casqueyro ; y para el Corregimiento de la villa de Agreda, que este dexa, á D. Joseph Francisco Coll. En América. En el regimiento de infantería del Rey fixo de Manila se ha servido el Rey</t>
  </si>
  <si>
    <t>Núñez, Joseph</t>
  </si>
  <si>
    <t>Joseph Núñez</t>
  </si>
  <si>
    <t>, de granaderos, D. Gabriel Tinajero , D. Antonio García, D. Joseph Lacomba, D. Domingo de Aragón , D. Joseph Nuñez, de bandera, y D. Diego Pizarro ; á Subtenientes de granaderos al de fusileros D. Ramón Valldejuli, y al de bandera D. Luis Gineti; á Subtenientes á los de bandera D. Salvador de</t>
  </si>
  <si>
    <t>Núñez, Joseph Felipe</t>
  </si>
  <si>
    <t>Joseph Felipe Núñez</t>
  </si>
  <si>
    <t>asadas entre sustos y congojas , hubieran todos perecido sin recurso, si la humanidad del portugués D. Joseph Felipe Nuñez ^ Capitán del bergantín nombrado Santa Ana , no hubiera venido e&gt;n su socorro. Este Capitán, que habia salido de Rio Jañeyro el dia 12 d^'Agosto para las islas Azores, y que había</t>
  </si>
  <si>
    <t>O'-n, Diego Benigno</t>
  </si>
  <si>
    <t>Diego Benigno O'-n</t>
  </si>
  <si>
    <t>de lorres, del Cornejo de S. M., leniente Corregidor de esta villa, por la esciibanía del.númcrq de D. Diego Benigno O'-n/alez zzrPor el mismo juzgado y escribanía se remata cu el propio dia otra casa en la calle de 1 oledo y de los limes, núm. 7, manz.</t>
  </si>
  <si>
    <t>O-Daly, Pedro</t>
  </si>
  <si>
    <t>Pedro O-Daly</t>
  </si>
  <si>
    <t>del de Irlanda Eugenio Macrohon; la del de Ultonia al Capitán del de Hibernia, graduado de Coronel, D. Pedro O-Daly: la del de Aragón al Capitán del de Navarra, graduado de Teniente Coronel r D- Antonio Zuazo: la del de la Princesa al Capitán del de Sevilla, graduado de Teniente Coronel, D. Ant</t>
  </si>
  <si>
    <t>O-Donovan, Juan</t>
  </si>
  <si>
    <t>Juan O-Donovan</t>
  </si>
  <si>
    <t>. Luis Bertrán, D. Nicolás Darcourt, D. Francisco de Corts, D. Cárlos Fitzgerald, D. Juan Brikdale, D. Juan O-Donovan, D. Juan Ponce de León , D. Antonio Lechuga y D. Joseph O-Donell: las de los de 1a Reyna, Corona, Guadalaxara, España, León, Cantabria, Princesa, Extremadura, Málaga y Granaderos</t>
  </si>
  <si>
    <t>O-Meaghes, Miguel</t>
  </si>
  <si>
    <t>Miguel O-Meaghes</t>
  </si>
  <si>
    <t>Pedro Miquelez : en el de Irlanda Compañía al Teniente de granaderos, graduado de Teniente Coronel, D. Miguel O-Meaghes: en el de Astúrias Subtenencia de bandera al Sargento primero D. Antonio Menas en el de Navarra Compañía al caballero Page de S. M. D. Pedro Wintuysen; y en el de la Princesa Comp</t>
  </si>
  <si>
    <t>O-Rian, Gabriel</t>
  </si>
  <si>
    <t>Gabriel O-Rian</t>
  </si>
  <si>
    <t>e fusileros D. Francisco Acosta y D. Ramón Castellanos; á Subtenientes de compañía á los de bandera D. Gabriel O-Rian, D. Martin Oderiz y Don Joaquín Elosua, y á Subtenientes de bandera á los Cadetes D. Antonio María de la Torre y D. Francisco Lleonart, y al Sa gento primero de granaderos D. Carl</t>
  </si>
  <si>
    <t>Obispo de Lieja, Príncipe</t>
  </si>
  <si>
    <t>Príncipe Obispo de Lieja</t>
  </si>
  <si>
    <t>en sobre sí el pago anual á prorata de los 100© florines destinados á este efecto. 2.0 En quanto al Príncipe Obispo de Lieja, cuya situación es única, pues todas sus antiguas posesiones están á la orilla izquierda del Rhin, fixando su pensión en el mínimo de 20© florines, se pudiera disponer que los Prí</t>
  </si>
  <si>
    <t>Obispo de Lubeck, Príncipe</t>
  </si>
  <si>
    <t>Príncipe Obispo de Lubeck</t>
  </si>
  <si>
    <t>todo el Cuerpo diplomático, y ha dado audiencia al clero del obispado de Ratisbona. El Ministro del Príncipe Obispo de Lubeck ha dirigido á la diputación una memoria en respuesta á la que entrego con fecha de 19 de Noviembre el Ministro de Dinamarca, reclamando aquella corte sus dere-* ehos sobre los bie</t>
  </si>
  <si>
    <t>Obispo de Spira, Príncipe</t>
  </si>
  <si>
    <t>Príncipe Obispo de Spira</t>
  </si>
  <si>
    <t>allan en aquellos territorios, ¿e asegura que su execucion sufrirá algunas dificultades. El antiguo Príncipe Obispo de Spira, que ha hecho mansión por mucho tiempo en Francfort, ha recibido del Margrave de Badén una instancia para volver á sus antiguos estados ; y en conseqiiencia va á partir para Carls</t>
  </si>
  <si>
    <t>Ochoa de Ondategui, Diego</t>
  </si>
  <si>
    <t>Diego Ochoa de Ondategui</t>
  </si>
  <si>
    <t>sta la cabaña de ganado lanar fina trashumante, perteneciente á las memorias pias que en ella fundó Don Diego Ochoa de Ondategui, con sus dehesas propias y de renta, casa esquileo y demas fincas, que aquí se expresan con sus respectivas tasaciones en esta forma : las 13,190 reses lanares de todas clases, qu</t>
  </si>
  <si>
    <t>Ochoa, Manuel</t>
  </si>
  <si>
    <t>Manuel Ochoa</t>
  </si>
  <si>
    <t>imientos de infantería de la Reyna, Granada y Cantabria á los Subtenientes de los mis-? mos cuerpos D. Manuel Ochoa, D. Joseph Garcini y D. Carlos Montero: en los dei Príncipe, España y Mallorca á los Subtenientes de granaderos D. Mariano Cañellas, D. Joseph Mancha y D. Manuel Virizuela: á Capi</t>
  </si>
  <si>
    <t>Ochs</t>
  </si>
  <si>
    <t>e los ciudadanos Sarrasin y Merian. Este, .luego que fué nombrado, se acerco al ciudadano Ochs, también miembro del Consejo menor, y le abrazó cordialmente; siendo de notar que en todo el tiempo de las últimas turbulencias, habían sido grandes enemigos.</t>
  </si>
  <si>
    <t>Oderiz y Joaquín Elosua, Martín</t>
  </si>
  <si>
    <t>Martín Oderiz y Joaquín Elosua</t>
  </si>
  <si>
    <t>cisco Acosta y D. Ramón Castellanos; á Subtenientes de compañía á los de bandera D. Gabriel O-Rian, D. Martin Oderiz y Don Joaquín Elosua, y á Subtenientes de bandera á los Cadetes D. Antonio María de la Torre y D. Francisco Lleonart, y al Sa gento primero de granaderos D. Carlos Laurent. S._M. ha concedido á la vil</t>
  </si>
  <si>
    <t>Oftizrdé Pinedo, Manuel</t>
  </si>
  <si>
    <t>Manuel Oftizrdé Pinedo</t>
  </si>
  <si>
    <t>ento’dé letras de la ciudad dé; Toro ;i D. Joseph María Cuellar i para el dé la ylllá de? Gácéres á D. Manuel Oftizrdé Pinedo : para el de la de' Arahda de Duero I D. Juan Antonio Mdntiel'Bullón: para la Vara' dé Alcalde; mayor de la ciudad* de Salamanca á D. Domingo Miguel Diez ; y para la de Ciudad-Rod</t>
  </si>
  <si>
    <t>Oirgaz, Manuel</t>
  </si>
  <si>
    <t>Manuel Oirgaz</t>
  </si>
  <si>
    <t>' 045 tura acudirá en la ciudad de Toledo en casa de D. Manuel Oirgaz, y en esta corte en la del Sr. Conde de Nóblejas, calle del Lobo» preguntando' por D. Remigio •Fernandez Sánchez. En virtud de los Reales decretos se ha sacado á pública subasta e</t>
  </si>
  <si>
    <t>Oitiz de SaL, Felipe</t>
  </si>
  <si>
    <t>Felipe Oitiz de SaL</t>
  </si>
  <si>
    <t>colegial, á D. Joseph Varona: para una Media-Rae.on de la catedral de Cuenca, vacante por muerte de D. Felipe Oitiz de SaL^.i, á D. Leandro Vicente Alvarez Navarro; y para el Beneficio simple servidero de la parroquial de la villa de Tendilla, en el arzobispado de To</t>
  </si>
  <si>
    <t>Olavide, Pablo</t>
  </si>
  <si>
    <t>Pablo Olavide</t>
  </si>
  <si>
    <t>inguet.,, ............... En la librería de Barco, carrera de S. Gerónimo, se hallará él retrato de Don Pablo Olavide, acomodado al tamaño de la obra del Evangelio en triunfo, y' gra-' bado con todo esmero por D. Juan Moreno de Texada. Estampas 11 y* 12 de la colección de las edades del hombre, q</t>
  </si>
  <si>
    <t>Olbert de Brema</t>
  </si>
  <si>
    <t>uto nacional de Francia durante el tercer trimestre del año x. Descubrimiento de un nuevo astro por Mr. Olbert de Brema. En la literatura española se hace análisis de la obra Diccionario'geográfico de España; y de las Conversaciones de un padre con sus hijos sobre el estudio de la historia natural.</t>
  </si>
  <si>
    <t>Olivar, Joseph</t>
  </si>
  <si>
    <t>Joseph Olivar</t>
  </si>
  <si>
    <t>ntes edades, y entre ellos algunos adultos, habiéndose hecho todo con mucho acierto por el Cirujano D. Joseph Olivar, y con la satisfacción de que aunque sobrevino en este intermedio una general ■epidemia de viruelas naturales, han quedado exentos de ellas los vacu-* -nados; y solamente han sido</t>
  </si>
  <si>
    <t>Olivares, Antonio</t>
  </si>
  <si>
    <t>Antonio Olivares</t>
  </si>
  <si>
    <t>y D. Andrés González: á Subteniente de bandera en el del Príncipe al Sargento primero de granaderos D. Antonio Olivares: á Teniente en el Suizo de Betschart al Subteniente de granaderos D. Carlos Heller: en el de Rcding á Capitanes primeros al de granaderos Don Antonio Pedotty y al Capitán segundo</t>
  </si>
  <si>
    <t>Olive, Pedro María</t>
  </si>
  <si>
    <t>Pedro María Olive</t>
  </si>
  <si>
    <t>ro de Estado,profesor de química en el Museo de historia natural &amp;c.; y traducida al castellano por D. Pedro María Olive. Esta obra que de orden de S. M. se traduce é imprime para la instrucción pública, es la mas metódica y completa que hasta ahora se ha publicado, pues contiene tratados con la may</t>
  </si>
  <si>
    <t>Oliverio Goldsmith</t>
  </si>
  <si>
    <t>gó á lo interior déla iglesia contigua,y cubrió enteramente la tumba del famoso Oliverio Goldsmith, autor del Vicario de Wakfield y de otras muchas obras ingeniosas. Berna n de Febrero. Y a se sabe aquí el contenido del acta de mediación presentada en nombre del primer Cónsul á las do</t>
  </si>
  <si>
    <t>Ombrih</t>
  </si>
  <si>
    <t>ciales' de despedida , presentando por Encargado de Negociosa mientras* se nombra otro Ministro; á* Mr. Ombrih, Secretario de' legación y Consejero de embaxada. Al dan sus credenciales al primen Cónsul , le' significó' que S. M. el Emperador habia condescendido con* súplica» que positivame</t>
  </si>
  <si>
    <t>Onell, Juan</t>
  </si>
  <si>
    <t>Juan Onell</t>
  </si>
  <si>
    <t>o de Guardias de Corps:para el Gobierno militar y político de la plaza de Jaca ál Mariscal de Campo D. Juan Onell: para la Tenencia de Rey de la plaza de Badajoz al Coronel D. Juan Gregorio Mansio, Gobernador de la de Berga: para la Tenencia de Rey de S. Sebastian al Teniente Coronel D. Alexa</t>
  </si>
  <si>
    <t>Onesimo Duran</t>
  </si>
  <si>
    <t>atcmala, vacante por promoción de D. Francisco Robledo á la de Fiscal del crimen de la de México, á D. Onesimo Duran, Teniente Letrado Asesor del Gobierno é Intendencia de Mechoacan ; y para otra plaza de Oidor de la Real Audiencia de Filipinas, vacante por promoción de D. Francisco Aivarez de M</t>
  </si>
  <si>
    <t>ario de la Intendencia y Comandancia general de la provincia de Guadalaxára, vacante por ascenso de D. Onesimo Duran, Oidor de la Audiencia de Guatemala, á D. Joseph Ignacio Ortiz de Salinas, Agente Fiscal de la Audiencia y superior gobierno de NuevaEspaña. Por el Ministerio de Hacienda se ha co</t>
  </si>
  <si>
    <t>Ordobas, Juan</t>
  </si>
  <si>
    <t>Juan Ordobas</t>
  </si>
  <si>
    <t>eson y D. Juan Vcngoa, y al Capitán segundo D. Juan de Osma: a los Mayores de brigada de Ingenieros D. Juan Ordobas y D. Gabriel Moron; á los Capitanes primeros D. Joseph Torras y Pellicer y D. Antonio Agudo: á D. Ignacio Montilla, Capitán del regimiento provincial de Bujalance; y á D. Nicolás Marí</t>
  </si>
  <si>
    <t>Ordoñez, Andrés</t>
  </si>
  <si>
    <t>Andrés Ordoñez</t>
  </si>
  <si>
    <t>ruer , D. Pedro Alcántara Ruiz y D. Vicente Asco ; á Alféreces á los Portaguiones D. Juan Rondeau , D. Andrés Ordoñez y D. Fran- » cisco de Paula Castellanos , al Cadete D. Joseph María Somalo, y al Sargento , graduado de Alférez, D. Antonio Perez, y: á Portaguiones á ios Cadetes D. Juan-Francisco Za</t>
  </si>
  <si>
    <t>Ordoñez, Manuel</t>
  </si>
  <si>
    <t>Manuel Ordoñez</t>
  </si>
  <si>
    <t>al de Ñapóles: á Capitán y segundo Subteniente en el fixo de Ceuta al primer Teniente de granaderos D. Manuel Ordoñez, y al Cadete D. Angel Martínez ; y á Subtenientes en el regimiento de infantería Suizo de Bestschart á los Cadetes D. Joseph Gabuzio y D. Justo Mohr. Por el Ministerio de Hacienda</t>
  </si>
  <si>
    <t>Ordovas, Ignacio</t>
  </si>
  <si>
    <t>Ignacio Ordovas</t>
  </si>
  <si>
    <t>tos de infantería de Granada, Mallorca, Príncipe y Voluntarios de°Castilla; á D. Rafael del Barrio, D. Ignacio Ordovas y D. Joaquin Biado, Cadetes de los de Murcia, Mallorca y Compañía fixa de Rosas; í D. Vicente Sánchez y D. Joaquin de la Cruz, Cadetes de los de caballería de Húsares Españoles y de E</t>
  </si>
  <si>
    <t>Orford, Lord</t>
  </si>
  <si>
    <t>Lord Orford</t>
  </si>
  <si>
    <t>leguas ) con el rostro vuelto hacia la cola de su caballo , y ha ganado la apuesta por 4 horas. El Lord Orford ha hecho la apuesta de que una manada de gansos llegaria de Norwick á Londres (hay 30 leguas) ántes que una manadajde pavos. Los gansos caminaron sin detenerse dia y noche; pero l</t>
  </si>
  <si>
    <t>Oribe, Joseph Francisco</t>
  </si>
  <si>
    <t>Joseph Francisco Oribe</t>
  </si>
  <si>
    <t>el regimiento de Reales Guardias Españolas se ha servido promover el Rey á Alféreces á los Cadetes D. Joseph Francisco Oribe, Don Francisco de Paula Marimon y D. Cayetano Carcer; y en el de Reales Guardias Walonas á Alféreces de granaderos á los de fusileros D. Manuel Cipriano de Xado y D. Agustin de Me</t>
  </si>
  <si>
    <t>Oríiz, JoSeph</t>
  </si>
  <si>
    <t>JoSeph Oríiz</t>
  </si>
  <si>
    <t>ara el Beneficio de la parroquia de Béniel, e* la .diócesis de Cartagena . vacante por promoción de D. JoSeph Oríiz al Déanató de la Colegiata de S; Felipe de Xátiva, á D. Pió Antonio Rodríguez, de Vera, En-el regimiento de Reales Guardias Españolas se ha servido pro-r ¿íover S.iM/f ái primer A</t>
  </si>
  <si>
    <t>Oromí, Joseph</t>
  </si>
  <si>
    <t>Joseph Oromí</t>
  </si>
  <si>
    <t>75° . . , . diencia de Galicia á D. Joseph Oromí: para la de Oidor de la de Mallorca , vacante por igual ascenso de D. Joaquín Sistemes , á D. Joseph Varela de Seixas ; y para la plaza que resulta vacante en la Audiencia de Astu</t>
  </si>
  <si>
    <t>Oromi, Juan</t>
  </si>
  <si>
    <t>Juan Oromi</t>
  </si>
  <si>
    <t>l del de América D. Domingo de la Iglesia, y al del de caballería de la Reyna, segundo de lí-; nea, D. Juan Oromi; como á D. Joseph y D. Pedro Aguado, Tenientes! dei regimiento provincial de Cuenca, á D. Antonio Ibarrola, D. Lorenzo Medrano y Treviño , D. Francisco Romo y Gamboa, Subtenientes</t>
  </si>
  <si>
    <t>Orozco, Tadeo Joseph</t>
  </si>
  <si>
    <t>Tadeo Joseph Orozco</t>
  </si>
  <si>
    <t>a servido nombrar para la Dignidad de Chantre de la catedral de Quito, vacante por fallecimiento de D. Tadeo Joseph Orozco, á D. Joaquín de Sotomayor , Dignidad de Tesorero de la propia catedral: pata esta Tesorería al Doctoral D. Calixto Miranda: para una Ración de la misma catedral, vacante por asce</t>
  </si>
  <si>
    <t>OrRian, Gabriel</t>
  </si>
  <si>
    <t>Gabriel OrRian</t>
  </si>
  <si>
    <t>riel Me noca!, D. Joseph de Córdoba y D. Manuel González, y á.Subtenientes de bandera á los Cadetes D. Gabriel OrRian , D. Joaquín. Elosua y D. Francisco Valera , y al .Sargento primero de granaderos D. Martin O.deriz. ; , La junta de gobierno del Banco nacional de S. Carlos, e.n virtud del cap.,</t>
  </si>
  <si>
    <t>Orsi, Cardenal</t>
  </si>
  <si>
    <t>Cardenal Orsi</t>
  </si>
  <si>
    <t>a imprenta Real á 12 rs. en pasta y á 10 en pergamino. Continuación de la Historia Eclesiástica del Cardenal Orsi, por el limo. Bechetti, Obispo de Pievé, desde el año 600 en que la dexó el primer autor hasta el pontificado de Pió vi: traducida al castellano por el Mtro. Martínez, dominico; t</t>
  </si>
  <si>
    <t>Ortega, Antonio</t>
  </si>
  <si>
    <t>Antonio Ortega</t>
  </si>
  <si>
    <t>nacieres D. Joseph Langles y D. Ventura Bustillos ; á Subtenientes ce granaderos á los de fusileros D, Antonio Ortega y D. Joseph Aristizabal , y á Subtenientes de bandera al Cadete D. Antonio Bayot y al Saigento primero D. Pedro Quirds. El Key^ se ha servido conferir el empleo de Capitán del cuerpo</t>
  </si>
  <si>
    <t>e de granaderos al de fusileros D. Segismundo Sartori; á Tenientes á los Subtenientes de granaderos D, Antonio Ortega y D. Joseph Aristizabal; á Subtenientes de granaderos á los de fusileros D. Nicolás Pimpin y D. Jpseph Lisola; á Subtenientes de Compañía á los de bandera D. Placido Duro y D. Joseph</t>
  </si>
  <si>
    <t>Ortega, Manuel</t>
  </si>
  <si>
    <t>Manuel Ortega</t>
  </si>
  <si>
    <t>a de plata del valor de 10 rs.: Francisco Narvaez, Sebastian Montero1, Juan Cardoso, Joseph García, D. Manuel Ortega , D. Diego Barrientos, Christóbal Aranda, Salvador Espino y Francisco Ruiz,de la de D. Juan, Francisco Palomino , Miguel Bores , Antonio Galban, Christóbal Pastrana, Joseph María</t>
  </si>
  <si>
    <t>Ortega, Tomás</t>
  </si>
  <si>
    <t>Tomás Ortega</t>
  </si>
  <si>
    <t>Ayres se ha servido S. M. promoverá Capitán al Ayudante D. Ambrosio Pinedo; á. Ayudante al Teniente D. Tomas Ortega; á Tenientes á los Alféreces D. Francisco Car- cer, D. Juan Manuel Marín, D. Manuel Garayo, D. Joseph Arenas,Don Joaquín Foruer , D. Pedro Alcántara Ruiz y D. Vicente Asco ; á Alf</t>
  </si>
  <si>
    <t>Ortells y Gamboa, Francisco</t>
  </si>
  <si>
    <t>Francisco Ortells y Gamboa</t>
  </si>
  <si>
    <t>disertación sobre la ventaja de este método respecto del antiguo por el Dr. D. Francisco Ortells y Gamboa, presbítero: publicado para que se propague la perfección de la hilaza de la seda en beneficio de las fábricas nacionales conforme á las Reales intenciones. Véndese dicho tratado en la librer</t>
  </si>
  <si>
    <t>Ortigosa, Ramón</t>
  </si>
  <si>
    <t>Ramón Ortigosa</t>
  </si>
  <si>
    <t>ez al Sargento D. Bartolomé Rodríguez: en el de Sagunto, sexto de Cazadores, á Ayudante al Teniente D. Ramón Ortigosa; yá Teniente al Alférez D. Pedro Lechuga; y en el de Lugtania, segundo de Húsares, á Coronel á D. Ramón de Aviles , Teniente Coronel del de Cazadores de Sagunto. En América. S. M.</t>
  </si>
  <si>
    <t>Capitan, D. Antonió Comá: en él de cazadores de Sagunto Ayudantía al Teniente, graduado de Capitán, D. Ramón Ortigosa; Tenencias á los Alféreces D. Cárlos Buil y D. Pedro Lechuga, y Alféreces al Cadete D. Francisco Mayorga, al dé igual clase D. Juan Bastos y al Sargento primero D* Juan Ruiz: en e</t>
  </si>
  <si>
    <t>Ortiz de Gordon, Vicente</t>
  </si>
  <si>
    <t>Vicente Ortiz de Gordon</t>
  </si>
  <si>
    <t>argento primero Don Antonio Mendoza : en el de Guaialaxara al Cadete del de Reales Guardias Walonas D. Vicente Ortiz de Gordon: en el de Sevilla ai Sargento 'primero D. Antonio Coral y al Cadete D. Francisco Rubalcaba: en el de Toledo al Sargento primero de granaderos D*Manuel Carazo: en el de Hibernia al</t>
  </si>
  <si>
    <t>Ortiz de la Peña, Joseph</t>
  </si>
  <si>
    <t>Joseph Ortiz de la Peña</t>
  </si>
  <si>
    <t>te .por .haber si-t do nombrado Obispo de dicha diócesis D. Manuel Ignacio González del Campillo, á D. Joseph Ortiz de la Peña, Chantre de la misma catedral; para esta Dignidad ¿1 Maestrescuela D. Juan de Dios de Olmedo y Araciel; para la Maestrescolía al Tesorero D. Juan Vicente Bernál Bejaránoy y paira</t>
  </si>
  <si>
    <t>Ortiz de Leguizamon, Manuel Luis</t>
  </si>
  <si>
    <t>Manuel Luis Ortiz de Leguizamon</t>
  </si>
  <si>
    <t>an; y un pagaré de 38© y mas reales de los Directores del gremio de paños D. Eugenio de S. Peiayo y D. Manuel Luis Ortiz de Leguizamon á favor de Valle/ &gt;.&lt; ^ : . . ; Quien quisiere hacer mejora.á una casa sita en la calle del Factor, núm. 6, manzana 440 , comprehensiva de 1419 pies de sitio, tasada en 53,134 rs.</t>
  </si>
  <si>
    <t>Ortiz de Salinas, Joseph Ignacio</t>
  </si>
  <si>
    <t>Joseph Ignacio Ortiz de Salinas</t>
  </si>
  <si>
    <t>ncia de Guadalaxára, vacante por ascenso de D. Onesimo Duran, Oidor de la Audiencia de Guatemala, á D. Joseph Ignacio Ortiz de Salinas, Agente Fiscal de la Audiencia y superior gobierno de NuevaEspaña. Por el Ministerio de Hacienda se ha comunicado con fecha de 14 de Mayo la Real orden siguiente: No habiendo lleg</t>
  </si>
  <si>
    <t>Ortiz de Zárate, Joaquín</t>
  </si>
  <si>
    <t>Joaquín Ortiz de Zárate</t>
  </si>
  <si>
    <t>rcito ha nombrado S. M. Subtenientes á los de los regimientos de infantería de Mallorca y de Africa D. Joaquín Ortiz de Zárate y D. Francisco Exarch; á los Cadetes de Reales Guardias de infantería Española D. Manuel Rodríguez Perez, Don Fráncisco Gregorio, D. Tomas Aguirre, D. Juan Ponsich, D. Felipe del Arco</t>
  </si>
  <si>
    <t>Ortiz y Sanz, Joseph</t>
  </si>
  <si>
    <t>Joseph Ortiz y Sanz</t>
  </si>
  <si>
    <t>á en el despacho de la imprenta Real. Compendio cronológico de la historia de España, compuesto por D. Joseph Ortiz y Sanz, Bibliotecario de S. M.: 6 tomos en 8.° marquilla. Se vende en la librería de Gómez Fuentenebro y compañía, calle de las Carretas: su precio 15 rs. cada tomo enquadernado en rústi</t>
  </si>
  <si>
    <t>Ortiz, Felipe</t>
  </si>
  <si>
    <t>Felipe Ortiz</t>
  </si>
  <si>
    <t>Arrancacepas y para el de la de Villalvilla, ambos en la diócesis de Cuenca, vacantes por muerte de D. Felipe Ortiz de ^alazar, á D. Julián Gómez Cornejo: para otro Beneficio de la parroquia de Belinchon, en el mismo obispado, vacante por fallecimiento dé V&gt;. Diego Antonio Rodríguez , á D. Joseph</t>
  </si>
  <si>
    <t>Ortiz, Joseph</t>
  </si>
  <si>
    <t>Joseph Ortiz</t>
  </si>
  <si>
    <t>por la promoción de D. Joseph Ventura Duro y Solano á una Canongía de la, catedral de Calahorra, á D. Joseph Ortiz; y para él Beneficio de la parroquia del Salvador de la villa de Sepúlveda , en la diócesis .de-Segovia , vacante por fallecimiento de D, Lázaro Fernandez Ladreda ,i l).Manuel Cam</t>
  </si>
  <si>
    <t>Ortiz, Manuel</t>
  </si>
  <si>
    <t>Manuel Ortiz</t>
  </si>
  <si>
    <t>Subteniente de bandera ai Cadete D. Francisco Montenegro: en el de Aragón á Teniente al Subteniente D. Manuel Ortiz: en el de Extremadura ¿Subteniente de bandera al Cadete de Reales Guardias Walonas D. Augusto de Pelleport: en el primer batallón de Voluntarios de Cataluña á Subteniente ai Cadet</t>
  </si>
  <si>
    <t>Oscoz y Recarte, Joseph Antonio</t>
  </si>
  <si>
    <t>Joseph Antonio Oscoz y Recarte</t>
  </si>
  <si>
    <t>rno de la villa y partido de Alcántara, territorio de la misma orden, de primera clase o entrada, á D. Joseph Antonio Oscoz y Recarte. El Prior de los religiosos Dominicos de la ciudad de Málaga Fr. Juan Muñoz, por sí y á nombre de toda la comunidad, animada del verdadero zelo y caridad christiana, ha ofrecido c</t>
  </si>
  <si>
    <t>Oses, Juan Ramón</t>
  </si>
  <si>
    <t>Juan Ramón Oses</t>
  </si>
  <si>
    <t>iscalía de Ja Audiencia de Canárias , vacante por separación de D. Joseph María Zuaznavar, nombro á D. Juan Ramón Oses: para la plaza de Ministro que resulta vacante en la misma Audiencia por promoción de D. Francisco Diaz Bermudo á otra de Oidor de la Au</t>
  </si>
  <si>
    <t>Osorio, Domingo</t>
  </si>
  <si>
    <t>Domingo Osorio</t>
  </si>
  <si>
    <t>s deJEcija, Salamanca, Toledo, Ciudad Real y Monterey á.D- Francisco de Paula Fernandez y Valdivia, D. Domingo Osorio, D. Vicente San.tisteban Sánchez de Torres, D. Lorenzo Mediano y.Treviño y:D_...Xavier-Mart’rnez Noguerol. ¿ . En América. En el .regimiento, de infantería iixo de Nueva España ha</t>
  </si>
  <si>
    <t>Osorio, Manuel Vícente</t>
  </si>
  <si>
    <t>Manuel Vícente Osorio</t>
  </si>
  <si>
    <t>brar para el Beneficio de San Pedro de Moya, en la diócesis de Cuenca, vacante por fallecimiento de D, Manuel Vícente Osorio, á D. Anselmo Aguado, con retención de la capellanía que obtiene , y la obligación de residir por sí mismo en la villa de Sacedon durante la temporada de baños,asistir á los enfer</t>
  </si>
  <si>
    <t>Otermin, Felipe</t>
  </si>
  <si>
    <t>Felipe Otermin</t>
  </si>
  <si>
    <t>cia al Subteniente D. Joseph Miguel Melendez: en el de Zamora Tenencia al Subteniente de granaderos D. Felipe Otermin: en el de Guadalaxara Tenencia al Subteniente de granaderos D. Joseph Laxara: en el de Valencia Tenencias á los Subtenientes de granaderos D. Isidro Alonso, D. Vicente Naudin y D.</t>
  </si>
  <si>
    <t>Otermin, Manuel</t>
  </si>
  <si>
    <t>Manuel Otermin</t>
  </si>
  <si>
    <t>cuerpo de Ingenieros D. Juan Zapatero y D. Ramón de la Rocha; y para Ayudantes primero y segundo á D. Manuel Otermin y D. Juan Quiroga, Capitán segundo y Teniente del expresado cuerpo. El Rey se ha servido nombrar para la Comandancia de la provincia de Tuy al Brigadier D. Nicolás Maby, Alférez de la</t>
  </si>
  <si>
    <t>Ovejas y Ja Justicia, Joseph</t>
  </si>
  <si>
    <t>Joseph Ovejas y Ja Justicia</t>
  </si>
  <si>
    <t>ecutará con el sucesor en caso que se imposibilite. Los pretendientes acudirán:con sus memoriales á D. Joseph Ovejas y Ja Justicia , comisionado por la villa ;,y esta plaza'se proveerá el dia 29 del corriente. La dirección de memoriales es, Soría, Agreda, Ixea. En la villa de Vinuesa, provincia de Soria, se h</t>
  </si>
  <si>
    <t>Oviedo, Felipe</t>
  </si>
  <si>
    <t>Felipe Oviedo</t>
  </si>
  <si>
    <t>no y Treviño , D. Francisco Romo y Gamboa, Subtenientes de los de Avila,Ciudad-Real y Sigüenza, y á D. Felipe Oviedo, que lo filé' del de Toledo. En los regimientos de Milicias provinciales ha promovido el Rey á Capítan primero de granaderos del de Avila al Teniente Coronel D. Lorenzo Resino, Ca</t>
  </si>
  <si>
    <t>Oyarzabal, Francisco</t>
  </si>
  <si>
    <t>Francisco Oyarzabal</t>
  </si>
  <si>
    <t>de Ara; á Xefe de brigada al Capitán primero D. Vicente Keyna; á Capitán primero ai Capítan segundo D. Francisco Oyarzabal; á Capitanes segundos á lós Tenientes D. Ignacio López y D. Tomas Anillo, y á Tenientes á D. Jacobo Gil de Avalle y á D. Joaquín Ponte. En el Real cuerpo de Ingenieros del exércit</t>
  </si>
  <si>
    <t>Pacheco, Juan</t>
  </si>
  <si>
    <t>Juan Pacheco</t>
  </si>
  <si>
    <t>Astorga, á D. Manuel Camps. ■ ■■ = • lin consideración á los dilatados méritos y servicios del Sr. D. Juan Pacheco, Consejero honorario de Estado, se ha servido el Rey concederle plaza efectiva en el mismo Consejo con casa de aposento y emdhnmentos correspondientes:‘pero sin sueldoen atención</t>
  </si>
  <si>
    <t>Pactod, General</t>
  </si>
  <si>
    <t>General Pactod</t>
  </si>
  <si>
    <t>en á los quarteles señalados los 20© hombres de que debe componerse. La, vanguardia, mandada por el General Pactod, ha salido de Deventer para Zvvbll. El cuerpo de tropas holandesas que manda el General Bonhomme, hace parte de este exército.—-Las tropas que se han internadoi de un tiempo á est</t>
  </si>
  <si>
    <t>Padilla, Julián</t>
  </si>
  <si>
    <t>Julián Padilla</t>
  </si>
  <si>
    <t>rimeros de granaderos D. Laureano Vega y D. Lorenzo Bona, y á Subtenientes de bandera á los Cadetes D. Julián Padilla, D. Manuel Villaiba y D. León Torralbo , y al Sargento primero D.Francisco García. El Rey se ha servido conferir el empleo de Capitán del cuerpo veterano de infantería de Guayana</t>
  </si>
  <si>
    <t>Padilla, Luis</t>
  </si>
  <si>
    <t>Luis Padilla</t>
  </si>
  <si>
    <t>tarios de Estado, á los Tenientes Coroneles graduados, D. Miguel de los Ríos, D. Francisco Cabrera, D. Luis Padilla, D. Xavier Elio, D. Juan Chrisóstomo Trelles ,.D. Cárlos Montero, D. Vicente Martínez, D. Pedro Grimarest, D. Alonso Valdes y D. Alexandro Ojea, Sargentos mayores de los de España</t>
  </si>
  <si>
    <t>Padreny, Juan</t>
  </si>
  <si>
    <t>Juan Padreny</t>
  </si>
  <si>
    <t>a de Sarreal, en la misma diócesis de Tarragona, vacante por .fallecimiento de D. Agustín Borras, á D. Juan Padreny. S. M. se ha servido nombrar paramuna Vara de Alcalde mayor del Gobierno .de la ciudad de Mecida, territorio de la orden de Santiago, á Don Tomas Manuel de Uruñueta: para otra del</t>
  </si>
  <si>
    <t>Pajares, Victoriano</t>
  </si>
  <si>
    <t>Victoriano Pajares</t>
  </si>
  <si>
    <t>s Academias de Guardias Marinas de la isla de León, Fenol y Cartagena: en . Cádiz en la Librería de D. Victoriano Pajares: en Cartagena en la de D. Fulgencio Gallardo: en la Coruña en la de Di Manuel de Soto: en el Colegio de S. Telmo de Sevilla; y en América en las . Comandancias de Marina, Capitaní</t>
  </si>
  <si>
    <t>Palabesino, Antonio</t>
  </si>
  <si>
    <t>Antonio Palabesino</t>
  </si>
  <si>
    <t>s 9 á las 12 de su mañana. Eos herederos inmediatos que acrediten serlo por legítimos documentos de Don Antonio Palabesino, vecino que fué de la ciudad de Zaragoza, y se cree que fué natural del Reyno de Aragón, se presentarán á D. Juan Bascuel, Procurador del Real seminario sacerdotal de’S. Cárlos de</t>
  </si>
  <si>
    <t>Palacian, Joseph</t>
  </si>
  <si>
    <t>Joseph Palacian</t>
  </si>
  <si>
    <t>mplimiento, y concluidas las lecciones publicasen 21 de Octubre, firmaron á la oposición de premios D. Joseph Palacian, D.. Vic.énte Soriáno, catedrático de medicina en Iá; .'universidad de Valencia, y el presbítero’ÍX Pablo de la-Llave, natural de Córdoba, en la Nueva España, discípulos del.Real</t>
  </si>
  <si>
    <t>Palacios de Aldunate, Ignacio</t>
  </si>
  <si>
    <t>Ignacio Palacios de Aldunate</t>
  </si>
  <si>
    <t>S. M. se ha dignado nombrar para el Deanato de la catedral de Huesca, vacante por fallecimiento de D. Ignacio Palacios de Aldunate, á D. Lorenzo López y Andreu: para la Canongía que este obtiene y resultará vacante en la ¡misma iglesia á D. Pascual López y Andreu : para el Arcedianato de la catedral de Menorc</t>
  </si>
  <si>
    <t>Palacios y León y Ramón Calvo de Rozas, Joseph</t>
  </si>
  <si>
    <t>Joseph Palacios y León y Ramón Calvo de Rozas</t>
  </si>
  <si>
    <t>licia D. Juan de Loresecha, D. Marcos Antonio de Serralde y D. Bernardo Plerbella, y á los Alcaldes D. Joseph Palacios y León y Don Ramón Calvo de Rozas ; nombrando por Oidor supernumerario de la Chancillería deValladolid á D. Domingo de Santa María y Salamanca. Para las quatro plazas de la expresada Audiencia que;queda\i vacantes</t>
  </si>
  <si>
    <t>Palacios, Manuel Antonio</t>
  </si>
  <si>
    <t>Manuel Antonio Palacios</t>
  </si>
  <si>
    <t>egimiento de letras de ]a ciudad de Logroño á D. Santiago de Suso y Anda: para el de la de Vhlena á D. Manuel Antonio Palacios: para el de la Vara de Alcalde mayor de la de Burgos á D. Diego Ignacio Goñi: para la de la de Plasencia á D. Santiago Nuñez Casqueyro ; y para el Corregimiento de la villa de Agr</t>
  </si>
  <si>
    <t>Palacios, Nicolás</t>
  </si>
  <si>
    <t>Nicolás Palacios</t>
  </si>
  <si>
    <t>ogía, caligrafía, paleografía, aritmética, gramática y ortografía castellana, que leyó el académico D. Nicolás Palacios ; y atendiendo al zelo y aplicación con que se han distinguido en los exercicios los pasantes D. Manuel Arias y D. Francisco Leocadio Zazo , tuvo á bien el colegio hacer una demos</t>
  </si>
  <si>
    <t>gía , caligrafié, paleografía, aritmética, gramática y ortografía castellana, que ley© el académico D. Nicolás Palacios; y atendiendo al zelo y aplicación con que se han distinguido en los exercicios jsjl^asante D. Antonio Navarrete y el leccionista D. Pedro Rodríguez ‘ipizquez, tuv© á bien el Cole</t>
  </si>
  <si>
    <t>Palafox y Croy de Havre, Antonio</t>
  </si>
  <si>
    <t>Antonio Palafox y Croy de Havre</t>
  </si>
  <si>
    <t>zeta de 21 del corriente. El dia 9 del pasado falleció en Cuenca á los 62 años y medió el limo. Sr. D. Antonio Palafox y Croy de Havre, Obispo de esta diócesis, del Consejo de S. M. y Caballero pensionado de la Real orden española de Carlos III. Siendo solamente Arcediano de aquella iglesia por haber renunciado s</t>
  </si>
  <si>
    <t>Palafox y Croy, Antonio</t>
  </si>
  <si>
    <t>Antonio Palafox y Croy</t>
  </si>
  <si>
    <t>e ha servido nombrar para la Iglesia y Obispado de Cuenca , vacante por fallecimiento del limo. Sr. D. Antonio Palafox y Croy¿ al limo. Sr. D. Ramón Falcon y Salcedo, Obispo de Zamora. S. M. se ha dignado nombrar para la Dignidad de Chantre de la catedral de Cartagena , vacante por fallecimiento de D. Pe</t>
  </si>
  <si>
    <t>Palao, Martín</t>
  </si>
  <si>
    <t>Martín Palao</t>
  </si>
  <si>
    <t>S. M. en el regimiento de infantería de la Luisiana á Capitanes á ios Tenientes D. Pedro Larronde, D. Martin Palao, D. Gerónimo Yebenes, D. Juan Delassise y D. Luis Piernas , el segundó, tercero y quinto Ayudantes, y el quarto de granaderos; á Ayudan-' tes á los Tenientes D. Joseph Cruzat, D.</t>
  </si>
  <si>
    <t>Palatino del Rhin, Conde</t>
  </si>
  <si>
    <t>Conde Palatino del Rhin</t>
  </si>
  <si>
    <t>sus edictosr Luis x , por la gracia de Dios, Landgrave de Hesse, Duque de WestphaIiá y de Hengern, Conde Palatino del Rhin, IMncipe de Hersfeld y de Starkenburgo,-Conde de Arensberg, Prevostedel Sacro Imperio Romano entre el Rhin y el Weser, Conde de Catzenellenbogen, Dietz, Zie"genhain, Nidda, Hanau,</t>
  </si>
  <si>
    <t>Palios y Pujol, Joseph</t>
  </si>
  <si>
    <t>Joseph Palios y Pujol</t>
  </si>
  <si>
    <t>gía de la catedral de Gerona, vacante por promoción de D. Severo Andriani á otra de la de Huesca, á D. Joseph Palios y Pujol; para la Dignidad de Prior .de Lastiesas , Oficio regular del Real monasterio de S. Juan de la Peña de la congregación benedictina claustral Tarraconense Cesaraugustana, en el Rey</t>
  </si>
  <si>
    <t>Palmarel, Francisco</t>
  </si>
  <si>
    <t>Francisco Palmarel</t>
  </si>
  <si>
    <t>eación de Enero, num. 287654, endosado cón dicha fecha en Cádiz por D. Antonio S. Gines, á favor de D. Francisco Palmarel i; y habiéndose extraviado,«se suplica al que sepa su paradero lo avise á dicho Palmarcli, en la calle del Pez, en la prendería. A voluntad de su dueño , con facultad real y por p</t>
  </si>
  <si>
    <t>Palomares, Manuel Joseph</t>
  </si>
  <si>
    <t>Manuel Joseph Palomares</t>
  </si>
  <si>
    <t>oco de predicar á sus feligreses la palabra de Dios , y modo de conducirse en este ministerio : por D. Manuel Joseph Palomares,Prior, Dignidad de la colegial de Baeza , én forma de carta apologética, instructiva y edificante de un párroco antiguo á otro moderno: s.egunda edición. Se hallará á 6 rs. en la</t>
  </si>
  <si>
    <t>ncisco Xavier Tristan: para la Ración que este obtiene en !a misma iglesia , y resultará vacante, á D. Manuel Joseph Palomares: para otra Ración de la misma catedral, vacante por muerte de X&gt;. Francisco González Pascual , á D. Vicente Ximeno Aguirre: para una Capellanía de Coro de la metropolitana de Gran</t>
  </si>
  <si>
    <t>Palomé, Benito</t>
  </si>
  <si>
    <t>Benito Palomé</t>
  </si>
  <si>
    <t>Hijo de Estéban y de Francisca Ar-'j geles, natural de Serdenés, Corre- i 3/.. Benito Palomé. 171. gimiento de Gerona en Cataluña, f Murió en 19 de Julio de 1801...... 3 Hijo de Francisco y de María Balses,') natural de San Pedro de Roda en ¡ 4.a.. Pablo Montal. Cataluña, dependiente del Corre- V 264 17 gimient</t>
  </si>
  <si>
    <t>Palomino, Antonio</t>
  </si>
  <si>
    <t>Antonio Palomino</t>
  </si>
  <si>
    <t>del puente de Toledo, id. =2Estampas de retratos de Pablo de Céspedes,D. Diego Velazquez de Silva, Don Antonio Palomino , de la Reyna Doña Juana, de Carlos v , de Felipe nr , de Felipe iv ,' d*e Felipe v, y de Fernando el vi, á 4 j^s. cada, uno , y el de Carlos nr á 2 rs. i Historia general del Per</t>
  </si>
  <si>
    <t>Pantaleon Álvarez Cíenfuegos</t>
  </si>
  <si>
    <t>adix, vacante por ascenso de D. Antonio Mancebo y Torres á la de Tesorero de la colegial de Baza, á D. Pantaleon Alvarez Cíenfuegos: para el Arciprestazgo de la parroquia de S. Juan de la villa de Talamanca, en el arzobispado de Toledo, vacante por promoción de D. Romualdo Moreno ai Deanato de la catedral de C</t>
  </si>
  <si>
    <t>Pantaleon Marcos Montesinos</t>
  </si>
  <si>
    <t>ioi8 Ramón Gundin Figueroa; y para el de la villa de Albacete á D. Pantaleon Marcos Montesinos. Para la vara de Alcalde mayor de la ciudad de Burgos á D. Joseph Gabriel de los Ríos; y para la de la de Santander á á D. Julián Bringas. En América, S. M. se ha servido conferir</t>
  </si>
  <si>
    <t>Panuncio Criado, Francisco</t>
  </si>
  <si>
    <t>Francisco Panuncio Criado</t>
  </si>
  <si>
    <t>al de Málaga, vacante por promoción de D. Salvador Casamayor á una Canongía de la misma catedral, á D. Francisco Panuncio Criado, Cura de la parroquial de los Santos Mártires de aquella ciudad: para una Media-Ración de la catedral de Calahorra, vacante por fallecimiento de D. Manuel Joaquin García Almárza,</t>
  </si>
  <si>
    <t>Parandier</t>
  </si>
  <si>
    <t>currido desde la llegada del Embaxador, el 6 de Enero, es digno de atención. El ciud. Parandier, primer Secretario de la embaxada, fué á notificar á la Puerta la llegada del Embaxador, y el Príncipe Scarlata Callimachi, primer Dragomán de ía Puerta, lo pr</t>
  </si>
  <si>
    <t>r/»\ caballo magníficamente enjaezado, que el Gran Visir le había destinado. El ciud. Parandier montó otro caballo que le había hecho prevenir el Tckaoax-bachi. Este oficial supremo de la Sublime Puerta iba, como la vez primera, al lado del Secretario de</t>
  </si>
  <si>
    <t>Pardo, Gregorio</t>
  </si>
  <si>
    <t>Gregorio Pardo</t>
  </si>
  <si>
    <t>ado S. M. promover á Capitanes primeros á los Capitanes segundos D. Juan Carrera, D. Joseph Michan, D. Gregorio Pardo, D. Joseph Lana, D. Juan Sánchez, D. Joseph Ruiz, D. Francisco-Reyna y D. Joseph Vergara. El Rey ha nombrado en el Real cuerpo de Ingenieros Capitán primero á D. Pedro Grinda, Cap</t>
  </si>
  <si>
    <t>Pardo, Tomás</t>
  </si>
  <si>
    <t>Tomás Pardo</t>
  </si>
  <si>
    <t>a oonferjdo en los regimientos provinciales, Compañía en. el de Móndónedó al Teniente de granaderos D. Tomas Pardo; Tenencias .en los de Ecija, Sigiienza y Ciudad Real á los Subtenientes de fusileros y granaderos I). Antonio Alcalá Galíano y D. Márcelo, Francisco Dávila, ,y al Teniente reforma</t>
  </si>
  <si>
    <t>Paredes, Felipe</t>
  </si>
  <si>
    <t>Felipe Paredes</t>
  </si>
  <si>
    <t>700 la Luna, lonja de Ecbenique; oficina del Real Contraste de oro y platal, calle dé la Almudena; D. Felipe Paredes, tasador de joyas, en las;platearías; D. Antonio Goycochea,calle de Fuencarral, esquina á la de las lívfantas; D. Manuel Blazqúez, platería frente á Sto. Tomas; viuda de Gil, hijo</t>
  </si>
  <si>
    <t>Paredes, Francisco</t>
  </si>
  <si>
    <t>Francisco Paredes</t>
  </si>
  <si>
    <t>ma escuela de dibuxo D. Juan Nepomuce110 Cónsul, adjudicó el 2° á D. Joseph Thio Ruster, y el 3.0 á D, Francisco Paredes, gratificando árD. Ricardo Palacib y D. Santiago Parrado con 1 oors. á cada, uno/deh fondo de ia iSbéiedíad; y ett aténdidfi:á;la constante aplicación y aprovechamiento de D, Esté</t>
  </si>
  <si>
    <t>Parejo la Colección, Juan Joseph</t>
  </si>
  <si>
    <t>Juan Joseph Parejo la Colección</t>
  </si>
  <si>
    <t>premios de este año , obteniendo Joseph Paez las Instituciones filosóficas del Arzobispo de León,y D. Juan Joseph Parejo la Colección de autores latinos, entre los gramáticos: entre los de primeras letras Manuel Galindo y D. Manuel Gómez, de la clase del maestro D. Juan, Don Anastasio Costadoat y D. Francisco Romer</t>
  </si>
  <si>
    <t>Parelíada, Simón</t>
  </si>
  <si>
    <t>Simón Parelíada</t>
  </si>
  <si>
    <t>imón y de Isabel Codolá, na-q tural de Barcelona en Cataluña, de- ( 1¿G • 3 • • Simón Parelíada. pendiente del Corregimiento de la f 53- j L misma. Murió en 29 de Agosto de 96. j pHijo de Rafael y de Jacinta Juan , na—^ j tural de Algaida en Mallorca, de-^ 120. X.3.. Antonio Mnlet..¿ q pendiente del Corregimiento</t>
  </si>
  <si>
    <t>Parott</t>
  </si>
  <si>
    <t>paz. Petersburgo 2 de Agosto, H a llegado á esta ciudad el Vice-Rector de la universidad de Dorpat, Mr. Parott, á quien ha mandado S. M. I. entregar 75$ rubios para las escuelas de Livonia. Copenhague 13 de Agosto. L os baxeles la Justicia , la Rosa y la Esperanza , destinados para Gleicks</t>
  </si>
  <si>
    <t>Parrado, Santiago</t>
  </si>
  <si>
    <t>Santiago Parrado</t>
  </si>
  <si>
    <t>el 2° á D. Joseph Thio Ruster, y el 3.0 á D, Francisco Paredes, gratificando árD. Ricardo Palacib y D. Santiago Parrado con 1 oors. á cada, uno/deh fondo de ia iSbéiedíad; y ett aténdidfi:á;la constante aplicación y aprovechamiento de D, Estéban Fanjuri* que han recomendado el director y maestro, ú</t>
  </si>
  <si>
    <t>Pascasio Martínez de Aldama, Pedro</t>
  </si>
  <si>
    <t>Pedro Pascasio Martínez de Aldama</t>
  </si>
  <si>
    <t>de Zamora: para una Ganongía de la colegial de Alfaro, diócesis de Tarazona, vacante por muerte de D. Pedro Pascasio Martínez de Aldama, á D. Manuel Valdero, Racionero de la misma colegial: para otra de la colegial de Covadonga, diócesis de Oviedo, vacante por fallecimiento de D. Francisco González Pinera, á D. Se</t>
  </si>
  <si>
    <t>Pascual Alpuente</t>
  </si>
  <si>
    <t>illa de Azuaga á D. Diego Salcedo y Ortega, ámbas de segunda clase: para la de la de Castrotorafe á D. Pascual Alpuente : para la del Gobierno de la villa de Ocaña á D. Eugenio Miguel Fernandez Maídonado, todas en el territorio de la orden de Santiago; y para la del Gobierno de la villa de Valencia</t>
  </si>
  <si>
    <t>Pascual de Céspedes, Joseph</t>
  </si>
  <si>
    <t>Joseph Pascual de Céspedes</t>
  </si>
  <si>
    <t>omingo Conde: en el de Granaderos Voluntarios de Estado Ayudantía al Teniente, graduado de Capitán, D. Joseph Pascual de Céspedes: en el de Voluntarios de la Corona al Caballero Page de S. M: D. Joseph de Carrion; Tenencia al Subteniente de granaderos D. Miguel Cortes, y Subtenencias al Sárgentó</t>
  </si>
  <si>
    <t>Pascual de Churruca, Juan</t>
  </si>
  <si>
    <t>Juan Pascual de Churruca</t>
  </si>
  <si>
    <t>metropolitana de Burgos, vacante por fallecimiento de Don Joseph Sobinas, al Inquisidor de Mallorca D. Juan Pascual de Churruca; y para un Beneficio del lugar de las Cabezas, en el arzobispado de Sevilla, vacante por muerte de D. Mariano de Aguilera y Contreras, á D. Gaspar de Aguilera y Contreras. En el r</t>
  </si>
  <si>
    <t>Pascual López Viiíapol</t>
  </si>
  <si>
    <t>mios honrosos, según costumbre y con arreglo á Reai orden de i.° de Enero de 1800, que recayeron en D. Pascual López Viiíapol, por las clases de álgebra y navegación, premiado con un octante de reflexión , la Relación del viage de las goletas Sutil y Mexicana al descubrimiento del estrechó de Fuca, las T</t>
  </si>
  <si>
    <t>Pascual López y Andreu</t>
  </si>
  <si>
    <t>orenzo López y Andreu: para la Canongía que este obtiene y resultará vacante en la ¡misma iglesia á D. Pascual López y Andreu : para el Arcedianato de la catedral de Menorca, vacante por promoción de X). Ramón Pueyo á una Canongía de Jaén, á¡0. Domingo Pons*. para una Canongía de dicha catedral de Menorc</t>
  </si>
  <si>
    <t>Pascual Moles, Pedro</t>
  </si>
  <si>
    <t>Pedro Pascual Moles</t>
  </si>
  <si>
    <t>del avestruz, en pliego de marca mayor, y hace juego con la de la pesca del cocodrilo; dibuxada por D. Pedro Pascual Moles, y grabada por D. Blas Ametller, Académico de mérito de la Real de San Fernando. Se hallará en el despacho de la calcografía de la imprenta Real. A D. Francisco del Valle, vecino</t>
  </si>
  <si>
    <t>Pascual Ruiz Huidóbro</t>
  </si>
  <si>
    <t>do conferir el Gobierno militar y político de la plaza de Montevideo al Brigadier de la Real Armada D. Pascual Ruiz Huidóbro. jEn América, El Rey se ha servido nombrar para la Dignidad de Ar</t>
  </si>
  <si>
    <t>Pascual Vallejo</t>
  </si>
  <si>
    <t>s proyectos dirigidos á promovéf la felicidad de esta ciudad y provincia de Valladolid , que el Sr. D. Pascual Vallejo , Intendente Corregidor de ella, halló al entrar‘á servir este empleo, haberse propuesto á la Real Sociedad económica dé la misma por uno de sus individuos en un discurso lleno de</t>
  </si>
  <si>
    <t>Pastor, Alexandro</t>
  </si>
  <si>
    <t>Alexandro Pastor</t>
  </si>
  <si>
    <t>po de Ingenieros Capitán primero á D. Pedro Grinda, Capitán segundo; y para este empleo al Teniente D. Alexandro Pastor. y En los regimientos Provinciales ha nombrado el Rey Sargento mayor del de Sevilla á D. Nicolás Duprat.de la Roquete, Capitán del de infantería de Hibernia: Capitanes de granader</t>
  </si>
  <si>
    <t>Pastor, Francisco</t>
  </si>
  <si>
    <t>Francisco Pastor</t>
  </si>
  <si>
    <t>servido conferir en el regimiento de infantería de León Compañía al Ayudante, graduado de Capitán, D. Francisco Pastor: en el de Astúrias Tenencia al Subteniente de granaderos D. Bernardino del Pozo: en el de Navarra Subtenencia de bandera al Cadete D. Antonio</t>
  </si>
  <si>
    <t>Pastor, Joaquín</t>
  </si>
  <si>
    <t>Joaquín Pastor</t>
  </si>
  <si>
    <t>para la de la de S. Hipólito de Córdoba, vacante por fallecimiento de D. Luis Lladosa Fernandez, á D. Joaquín Pastor: para la de la d-e Zamora, vacante por promoción de D. Joaquín Queypo de Llano al Arcedianato de Cea de la catedral de León, á D. Manuel González Herrero: para la Ración que este</t>
  </si>
  <si>
    <t>Pastor, Joseph</t>
  </si>
  <si>
    <t>Joseph Pastor</t>
  </si>
  <si>
    <t>o D.Félix del Castillo, fué gratificado con otras ocho onzas de plata. ——El mismo de arquitectura á D. Joseph Pastor, y otro igual á D. Francisco Arenas._El único de grabado á D. Tomas Hidalgo y Morales de una medalla de plata de ocho onzas._El de primera clase de figuras de una me</t>
  </si>
  <si>
    <t>Pastor, Nicolás</t>
  </si>
  <si>
    <t>Nicolás Pastor</t>
  </si>
  <si>
    <t>nguido D. Juan Vázquez: en el de Santiago Sargentía mayor al Capitán, graduado de Teniente Coronel; D. Nicolás Pastor; Compañía al Ayudante, graduado de Capitán, D. Lúeas Portillo, y Ayudantía al Teniente, graduado de Capitán, D. Jacinto Peretti: en el de Montesa Compañías al Ayudante mayor D. Eu</t>
  </si>
  <si>
    <t>Paten</t>
  </si>
  <si>
    <t>otar, y la propuesta fue rechazada por 106 contra 1$. El mismo dia en la Cámara de los Comunes hizo Mr. Paten la acusación de los Ministros, manifestando que lo sentía porque no es enemigo de ninguno de ellos. Les tacha de no haber informado á laCámara del estado en que se hallaba el país de</t>
  </si>
  <si>
    <t>Patricio Gandía</t>
  </si>
  <si>
    <t>Tarrio, D. Ra-t fael García y D. Manuel Urrutia, y á Subtenientes de granaderos á lo} de fusileros D. Patricio Gandía, D. Pedro Silva y D. Casimiro Estevas.' Con fecha de ió de Febrero se ha comunicado por el Ministerio de Hacienda á todos los Consulados de España la Real orden siguiente*. „ El R</t>
  </si>
  <si>
    <t>de fusileros D. Manuel Rodríguez y D. Joseph Ramírez; á Tenientes á los Subtenientes de granaderos D. Patricio Gandía,D. Pedro de Silva y D. Casimiro Esteves , y al de fusileros D. Joaquín de los Reyes; á Subtenientes de granaderos á los de fusileros D. Joseph Díaz, D. Andrés Postigo y D. Juan Ve</t>
  </si>
  <si>
    <t>Patricio Meckel</t>
  </si>
  <si>
    <t>Francisco Marino; y en el de Irlanda Compañía y Tenencia á los Teniente y Subteniente de granaderos D. Patricio Meckel, graduado de Capitán, y D. Crispin Moya de la Torre. S. M. se ha servido promover á Alférez en el regimiento de caballería de Barbón al Portaestandarte D. Manuel Gómez de Barreda;</t>
  </si>
  <si>
    <t>Patricio Prieto</t>
  </si>
  <si>
    <t>er á Teniente Coronel al Sargento mayor D. Nicolás Iberríj á Teniente de granaderos al de fusileros Don Patricio Prieto; á Teniente de fusileros al Subteniente de granaderos Don Hilario Figueroa ; á Subteniente de granaderos al de fusileros D. Pedro Gongora; á Subtenientes de bandera á los Cadetes</t>
  </si>
  <si>
    <t>Patricio Sánchez</t>
  </si>
  <si>
    <t>jo sin trabajo, 6 método pronto y fácil para imponerse qualquiéra en la medicina: papel esorito por D. Patricio Sánchez, uno de los Médicos titulares de la villa de Agreda: un tomito en 8.° en rústica , su precio 4 rs. Se hallará en lá librería de Mateo , carrera de S. Gerónimo, en Agreda en casa d</t>
  </si>
  <si>
    <t>Patten, Coronel</t>
  </si>
  <si>
    <t>Coronel Patten</t>
  </si>
  <si>
    <t>público; y que sentía mucho no haber podido hacer cesar mas pronto el estado de incertidumbre.__ El Coronel Patten, que habia prorogado su propuesta en virtud de la promesa hecha anteriormente por el Chanciller, de hacer alguna comunicación á la Cámara áiítes de dicho dia, propuso de nuevo que</t>
  </si>
  <si>
    <t>Paulino D’Aígremonr</t>
  </si>
  <si>
    <t>Teniente y segundo Ayudante D. Francisco de Hauregard; á segundo Ayudante mayor al primer Teniente D, Paulino D’Aígremonr, y á Alféreces á los Cadetes D* Joseph</t>
  </si>
  <si>
    <t>Paulino Unceta</t>
  </si>
  <si>
    <t>de infantería de Saboya se ha servido promover el Rey á Capitán al Teniente , graduado de Capitán, D, Paulino Unceta: en el de Valencia á Teniente al Subteniente D. Antonio Morales: en el de Asturias á Sargento mayor al Capitán del de la Corona D. Antonio Falques : en el fixo de Ceuta á primer S</t>
  </si>
  <si>
    <t>Pavía, Domingo</t>
  </si>
  <si>
    <t>Domingo Pavía</t>
  </si>
  <si>
    <t>Merich. El Rey se ha servido conferir en él regimiento dé caballería de Borbon Tenencia al Alférez D. Domingo Pavía : en el de Farnesio Sargentía mayor al Capitán , graduado de Teniente Coronel, D. Plácido Aguado^ y Compañía al Ayudante, graduado dé Capitán, D. Francisco Ibarra;: en el de Españ</t>
  </si>
  <si>
    <t>Pawlowtski, Nicolás (duque)</t>
  </si>
  <si>
    <t>Duque Nicolás Pawlowtski</t>
  </si>
  <si>
    <t>urgo 12 de Julio. H a habido una gran fiesta en Pawlosk con motivo de hlber cumplido 8 años el Gran Duque Nicolás Pawlowtski. Como en e^te día comenzaba la educación política del Príncipe, se le vistió por la primera vez de uniforme, y fue entregado al Ayo. A la Condena de Liewen te le hizo un magnífico</t>
  </si>
  <si>
    <t>Paz del Castillo, María</t>
  </si>
  <si>
    <t>María Paz del Castillo</t>
  </si>
  <si>
    <t>os al de fusileros D. Luis Carvallo; y {\ Subteniente de fusileros á D. J oseph María Paz del Castillo, Teniente de las compañías urbanas de S. Luis de Cura. El Real colegio académico de profesores de primeras letras de la corte, establecido baxo la inmediata protección del supremo Consejo d</t>
  </si>
  <si>
    <t>Pazos, Antonio</t>
  </si>
  <si>
    <t>Antonio Pazos</t>
  </si>
  <si>
    <t>Andrés Delgado y Moreno; y en el de voluntarios de la Corona Tenencia al Subteniente de granaderos D. Antonio Pazos. ..... En el mes de Noviembre último el mayor calor en Madrid fué de 13,7 grados de Reaitrhur el dia i.°, y el menor dé 0,4 grados el dia 26 á las 8 de la mañatiá. El calor medió'</t>
  </si>
  <si>
    <t>Pearo Granini</t>
  </si>
  <si>
    <t>to primero D. Miguel López. El Rey ha promovido á Comisario Ordenador de sus exércitos al de éuerra D. Pearo Granini, primer profesor de la Academia militar de Segovia. ; En los regimientos de Milicias provinciales ha promovido el Rey á Coronel del de Avila á D; Juan de Becerril, Teniente Corone</t>
  </si>
  <si>
    <t>Pedotty, Antonio</t>
  </si>
  <si>
    <t>Antonio Pedotty</t>
  </si>
  <si>
    <t>l Subteniente de granaderos D. Carlos Heller: en el de Rcding á Capitanes primeros al de granaderos Don Antonio Pedotty y al Capitán segundo D. Juan Waltispiihl; á Capitán segundo al Teniente de granaderos D, Manuel Gerig; ¿Ayudante al Teniente D. Fidel de Reding, y á Tenientes á los Subtenientes D.</t>
  </si>
  <si>
    <t>Pedrera, Joseph</t>
  </si>
  <si>
    <t>Joseph Pedrera</t>
  </si>
  <si>
    <t>ría de la Revna y Murcia Subtenencias de bandera al Cadete D. Pedro Fernandez y al Sargento primero D. Joseph Pedrera; y en el de Toledo Ayudantía al Teniente, graduado de Capitán, D. Manuel de Goya. También se ha servido S. M. promover en el regimiento de infantería de Saboya á Subteniente de ba</t>
  </si>
  <si>
    <t>Pedro Alonso</t>
  </si>
  <si>
    <t>brera. - S. M. se ha servido conferir el empleo de Coronel del regimiento de infantería de México á D. Pedro Alonso, Teniente Coronel del de la Corona, fixo de Nueva-España; y el de Sargento mayor veterano del de infantería provincial de Vailadolid al Capitán D. Joseph Zamora no, Ayudante del p</t>
  </si>
  <si>
    <t>Pedro Ángel</t>
  </si>
  <si>
    <t>o de Toledo, vacante por promoción de D. Joseph Viu á una Canongía de la metropolitana de Toledo, á D. Pedro Angel dél Trell, con la:obliaa7 cion de precisa y personal residencia: para el Préstamo de Villamedia-í na, en la diócesis de Calahorra, vacante por fallecimiento de D. Francisco Perez Fue</t>
  </si>
  <si>
    <t>Pedro Santiago</t>
  </si>
  <si>
    <t>nel, D. Domingo Larrjpa: las de los de Jaén y Voluntarios de Castilla á los Capitanes del dé Aragón Don Pedro Santiago y D. Antonio Vicente Fernandez : la del de Borbon alCapitán del de Mallorca, graduado de Teniente Coronel , D. Luis Cueto: ’ la del de Nápoles al Capitán. d$l. misino^ ci^erpQ, gradua</t>
  </si>
  <si>
    <t>Pedro' Rola</t>
  </si>
  <si>
    <t>enientes á los Subtenientes D*. Juan Bautista Pellerin, D. Terencio Le-Blanc, D. Benigno Calderón , D. Pedro' Rola, D. Juan Moreno; D. Ursino Bóuiigny, D. Francisco Garreli, Don1 Francisco de Hévia, P- Vicente Fernandez Texero, graduado de Teniente , D. Antonio Gayarre y D. Francisco LadeVese,</t>
  </si>
  <si>
    <t>Pedro'Díaz de Giiereiiu</t>
  </si>
  <si>
    <t>es del P. Carlos&lt;de la Rña, traducidos del francés al • castellano^gor -el P7D. Pedro'Díaz de Giiereiiu, presbítero d« la congregación de Clérigos reglares de S. Cayetano : 7 tomos en 4.% que contienen adviento y^uaresma, panegíricos y</t>
  </si>
  <si>
    <t>Pedrosa, Joseph</t>
  </si>
  <si>
    <t>Joseph Pedrosa</t>
  </si>
  <si>
    <t>órdoba, graduado de Capitán, D. Francisco Montano; á Tenientes á los Subtenientes D.‘Joaquín Abad y D, Joseph Pedrosa, este de granaderos: en el de Mallorca á Tenientes á los Subtenientes D. Francisco María Requena y D. Gines Joseph Zamora, este de granaderos: en el de Aragón á Teniente al Subten</t>
  </si>
  <si>
    <t>Peiham, Lord</t>
  </si>
  <si>
    <t>Lord Peiham</t>
  </si>
  <si>
    <t>s seis de la mañana ya no cabía la gente. En la Cámara de los Pares el 17 del corriente, propuso el Lord Peiham la primera lectura del bilí sobre la suspensión de los pagos del banco en especie. Adoptada la propuesta, dixo el Lord Moira: ,,La providencia que se nos lia propuesto es en las pres</t>
  </si>
  <si>
    <t>Pel, Lord</t>
  </si>
  <si>
    <t>Lord Pel</t>
  </si>
  <si>
    <t>ara de los Pares de ayer 23 se verificó la discusión acerca del mensage del Rey sobre la guerra. El Lord Pel/iam. ,,Milores. Tengo bien fundadas esperanzas de que no puede haber hoy mucha diferencia en . las opiniones sobre la qiiestioti importante en que vamos á ocuparnos. Tan manifiest</t>
  </si>
  <si>
    <t>Pelaez, Agustín</t>
  </si>
  <si>
    <t>Agustín Pelaez</t>
  </si>
  <si>
    <t>rola, y una Adición en respuesta á la vindicta últimamente publicada por el Br. Porras Machaca: por D. Agustín Pelaez, primer ayudante del cirujano mayor de los Reales exéícitos. Se hallará en la librería de Campo, calle de Alcalá, y en Barcelona en la de Sastre. Noticia de la fundación de la ant</t>
  </si>
  <si>
    <t>Pelaez, Juan Antonio</t>
  </si>
  <si>
    <t>Juan Antonio Pelaez</t>
  </si>
  <si>
    <t>.en el regimiento dé infantería de Zamora Compañía al Teniente de granaderos, graduado de Capitán, Don Juan Antonio Pelaez : en el de Granada Subtenencia de bandera al Sarento primero de granaderos D. Gregorio Alvarez; y Capellanía al presf itero D, Francisco Bravo y Tocados: en el de Asturias Capella</t>
  </si>
  <si>
    <t>Pelham, Lord</t>
  </si>
  <si>
    <t>Lord Pelham</t>
  </si>
  <si>
    <t>liega á París con un pasaporte de su gobierno, se le arresta,, y se le encierra en una cárcel.” El Lord Pelham refuto estas proposiciones;, y en quanto al hecho del oficial arrestado en Taris por la policía, dixo* que apenas el Ministro británico reclamo este individuo,, al instante eí gob</t>
  </si>
  <si>
    <t>manifiesta, á su parecer, de la fe pública.— El Lord Chanciller pidió votos sobre la propuesta. El Lord Pelham se opuso á ella, diciendo que todo parecía dirigirse á empeñar la Cámara en una pesquisa ya hecha y absolutamente inútil al presente: que la cantidad de billetes de los bancos pro</t>
  </si>
  <si>
    <t>scubierto las conspiraciones de ios traidores. Se leyó la propuesta, y se adoptó unánimemente.__ El Lord Pelham propuso la segunda lectura del bilí relativo al banco, la eme se verificó después de algunos debates.__ El mismo día 22, en la Cámara de los Comunes, el Secretario de la Guerra pr</t>
  </si>
  <si>
    <t>iquier se prorogó indefinidamente la propuesta de Patten. ; El dia 6 en la Cámara, de, los Pares el Lord Pelham, dixo: ,,Que un noble Lord habia anunciado que para el lúnes próximo tenia que hacer una propuesta relativa á la negociación actual con la Francia, á menos que antes de este dia s</t>
  </si>
  <si>
    <t>a, y de allí á Bohemia, adonde tiene muchos bienes. Londres Jro de Mayo. A yer en la Cámara alta el Lord Pelham expuso, que habiéndose dicho á la Cámara que en aquel dia se haría üúá propuesta relativa á la negociación con el gobierno de Francia, en caso de que antes no se comunicase nada á l</t>
  </si>
  <si>
    <t>ncontró ha traído cartas suyas para el Lord Hawkesbury. En la Cámara de los Pares presentó el 16 el Lord Pelham el mensage del Rey acerca del rompimiento de las negociaciones con P rancia, y pidió se tomase en consideración; advirtiendo que lo mas pronto que fuese posible se pondrían á la vis</t>
  </si>
  <si>
    <t>ivo hicieron salva los cañones del parque y de la Torre, y se publicó una gazeta extraordinaria. El Lord Pelham ha dexado el ministerio del Interior, en el que le ha sucedido Mr. Yorke, Secretario de la Guerra, á quien se dice que sucederá Mr. Bragge. En la gazeta de Londres (papel de ofici</t>
  </si>
  <si>
    <t>Pelliam, Lord</t>
  </si>
  <si>
    <t>Lord Pelliam</t>
  </si>
  <si>
    <t>. Dundas ha sido creado Lord con el título de Vizconde de Mel-. ville; y se dice que reemplazará ai Lord Pelliam en el departamento del Interior. Las cartas del Cabo-de Buena-Esperanza del 13 de Agosto expresan la feliz llegada de vatios de nuestros navios de linea y de transporte que habian s</t>
  </si>
  <si>
    <t>Pellicer, Juan Antonio</t>
  </si>
  <si>
    <t>Juan Antonio Pellicer</t>
  </si>
  <si>
    <t>ica sobre el origen, nombre y población de Madrid , así en tiempo de moros como de christianos; por D. Juan Antonio Pellicer, Bibliotecario decano de S. M., caballero pensionado de la Real y distinguida órden española de Cárlos m, y‘ académico de; número de la Real Academia de la Historia : en 4.0 Notor</t>
  </si>
  <si>
    <t>Pelnáiri, Lord</t>
  </si>
  <si>
    <t>Lord Pelnáiri</t>
  </si>
  <si>
    <t>Pares el dia 21 se propuso la segunda lectura del bilí pdr¿a ¡corregir los abusos de la marina. El Lord Pelnáiri fue de parecer quejse hiciese lá segunda lectura del bilí; pero fundido únicamente ep Ia;;confian3a qUe tenia en quien lo habia presentado, y eti la sabiduría de la Cámara de los</t>
  </si>
  <si>
    <t>Perales, Juan</t>
  </si>
  <si>
    <t>Juan Perales</t>
  </si>
  <si>
    <t>dio+Radonero de la propia; y para una Ración de la catedral del Cuzco, vacante por fallecimiento de D. Juan Perales, á D. Ma* nuel de la Sótay Beingolea, Cura Vicario de la Doctrina de Rontoca, en la misma diócesis. Asimismo se ha servido S. M. nombrar para la Asesoría del Gobierno é Intendenci</t>
  </si>
  <si>
    <t>Peré y Casado, Francisco</t>
  </si>
  <si>
    <t>Francisco Peré y Casado</t>
  </si>
  <si>
    <t>no, ríos que las bañan, y grados de longitud y latitud, ó altura del polo donde se hallan: au autor D. Francisco Peré y Casado. Se hallará á 8 rs. en la librería de Escribano, calle de las Carretas. En esta gazeta se inserta la noticia de las obras pertenecientes á la Direccioa de trabajos hidrográficos.</t>
  </si>
  <si>
    <t>Peredo, Tomás</t>
  </si>
  <si>
    <t>Tomás Peredo</t>
  </si>
  <si>
    <t>al Alférez D. Miguel del Thoso; á Alférez al Portaguión D. Joseph Jordán, y á Portaguión al Cadete D. Tomas Peredo. Por el Ministerio de Hacienda se ha comunicado con fecha de 17 del corriente la Real orden que sigue: El Rey quiere que todos los extrangeros que hayan obtenido ú ob^ tuvieren en</t>
  </si>
  <si>
    <t>Peretti, Jacinto</t>
  </si>
  <si>
    <t>Jacinto Peretti</t>
  </si>
  <si>
    <t>al Ayudante, graduado de Capitán, D. Lúeas Portillo, y Ayudantía al Teniente, graduado de Capitán, D. Jacinto Peretti: en el de Montesa Compañías al Ayudante mayor D. Eugenio Ramón dé Azcarraga y al Teniente D. Juan Frasnedo; Ayudantía al Teniente, graduado de Capitán , D. Joseph Campos; Tenencia</t>
  </si>
  <si>
    <t>Pereyra, Juan</t>
  </si>
  <si>
    <t>Juan Pereyra</t>
  </si>
  <si>
    <t>media-í na, en la diócesis de Calahorra, vacante por fallecimiento de D. Francisco Perez Fuentes, á D. Juan Pereyra: para el Curato rural déL despoblado de Servande, en la diócesis de Avila, la Media-Prestamera de la villa de Villar de Cañas, en la de Cuenca, y el Préstamo de Solanillos del Ext</t>
  </si>
  <si>
    <t>Pérez Casabal, Miguel</t>
  </si>
  <si>
    <t>Miguel Pérez Casabal</t>
  </si>
  <si>
    <t>ín Cid Carrascal: para otra Canongía de la de Bribiesca, diócesis de Burgos, que vacó por muerte de D. Miguel Perez Casabal., á D. Manuel Rtiiz Zorrilla:, Racionero de la misma iglesia; y para una Media Ración de la catedral de Cuenca, vacante por fallecimiento de D. Antonio Mazo de la Vega , á D. Juan</t>
  </si>
  <si>
    <t>nombrar para el Arciprestazgo de Canales, en la , diócesis de Burgos, vacante por fallecimiento de D. Miguel Perez Casabal, á D. Manuel Blanco Ilernáez: para una Canongía de la metropolitana de Toledo, vacante por muerte de D. Andrés de León, á D. Joseph de Viu: para la Ración que este dexará en la pr</t>
  </si>
  <si>
    <t>Pérez de Aibeniz, Mateo Antonio</t>
  </si>
  <si>
    <t>Mateo Antonio Pérez de Aibeniz</t>
  </si>
  <si>
    <t>etódica especulativa y práctica para enseñar á cantar y tañer la música moderna y antigua: su autor D. Mateo Antonio Perez de Aibeniz, Maestro de capilla y organista de la ciudad de S. Sebastian de Guipúzcoa : obra que merece la atención de los inteligentes,como muy útil para aprender la música instrumental y pa</t>
  </si>
  <si>
    <t>Pérez de Arce, Francisco</t>
  </si>
  <si>
    <t>Francisco Pérez de Arce</t>
  </si>
  <si>
    <t>Berreta , D. Juan Hermoso y D. Santiago Martínez de Heredia como mas sobresalientes: el 4.0 y 5.0 á D. Francisco Perez de Arce y D. Antonio del Campo; y el 6.° se sorteo entre D. Manuel Montemayor, D. Julián Martin López y D. Manuel de Hoyos-, y recayó en Hoyos. Se graduó de sobresaliente á D. Mariano Mbllá,</t>
  </si>
  <si>
    <t>Pérez de Castro, Pedro Antonio</t>
  </si>
  <si>
    <t>Pedro Antonio Pérez de Castro</t>
  </si>
  <si>
    <t>id, traducidos ó parafraseados en verso castellano por varios y diferentes metros : obra póstuma de D. Pedro Antonio Perez de Castro, Secretario de la suprema Junta de Caballería del Reyno &amp;c. Se hallará ea la librería de Munita, calle de las Carretas. Doctrinas y sermones para misión del limo. Sr. D. Fr. Migue</t>
  </si>
  <si>
    <t>Pérez de la Sierra, Joseph</t>
  </si>
  <si>
    <t>Joseph Pérez de la Sierra</t>
  </si>
  <si>
    <t>para una Canongía de la colegial de Santillana, diócesis de Santander, vacante por fallecimiento de D. Joseph Perez de la Sierra, á D. Joseph Antonio Noriega, Racionero de la misma colegial: para otra Canongía de la colegial del Sacromonte de Granada, vacante por muerte de D. Antonio de la Oliva y Gago, á D</t>
  </si>
  <si>
    <t>Pérez de Lema, Juan</t>
  </si>
  <si>
    <t>Juan Pérez de Lema</t>
  </si>
  <si>
    <t>o de Capitán, D. Cayetano Virues: en el de Voluntarios de Castilla Subtenencia de bandera al Cadete D. Juan Perez de Lema: en el de Córdoba Compañía al Teniente de granaderos del mismo, graduado de Capitán, D. Manuel Muñoz; y en los batallones de voluntarios de infantería ligera segundo de Barcelona</t>
  </si>
  <si>
    <t>Pérez de Saavedra y Ramírez, Juan Martín</t>
  </si>
  <si>
    <t>Juan Martín Pérez de Saavedra y Ramírez</t>
  </si>
  <si>
    <t>nero. El 28 de Setiembre del año pasado falleció en Barcelona, á los 43 años de edad, el Excmo. Sr. D. Juan Martin Perez de Saavedra y Ramírez, Duque ele Ribas, Marques de Andia, de la Ribera, "Viliasenda v Auñon, Conde de Sevilla la Nueva, Grande de España, Gentilhombre de Cámara de S. M. con’ exercicio /Caballerizo may</t>
  </si>
  <si>
    <t>Pérez de Tejada, Vicente</t>
  </si>
  <si>
    <t>Vicente Pérez de Tejada</t>
  </si>
  <si>
    <t>sco Peyrolon y compañía* En Valladolid...... D. Francisco Durango é hijo mayor. En Zamora.......... D. Vicente Perez de Tejada. En Zaragoza....... D. Tomas de la Madrid. En Zeuta.............. D. Pedro Huguet, comisionado subalterno del de Cádiz. El Consejo, á consulta de la Comisión gubernativa de Consol</t>
  </si>
  <si>
    <t>sco Peyrolon y compañía. EnValladolid...... D. Francisco Durango é hijo mayor. En Zamora........... D. Vicente Perez de Tejada. En Zaragoza........ D. Tomas de la Madrid. En Zeuta........... D. Pedro Huguet, comisionado subalterno del de Cádiz. El Consejo, a consulta de la Comisión gubernativa de Consolid</t>
  </si>
  <si>
    <t>Francisco Peyrolon y compañía. EnValladolid. D. Francisco Durango é hijo mayor. En Zanjora......... D. Vicente Perez de Tejada. En Zaragoza......... D. Tomas de la Madrid. En Zeuta................ D. Pedro Huguet, comisionado subalterno del de Cádiz. Asimismo los tenedores de Vales* dinero de la Real Teso</t>
  </si>
  <si>
    <t>Pérez del Notario, Juan Joseph</t>
  </si>
  <si>
    <t>Juan Joseph Pérez del Notario</t>
  </si>
  <si>
    <t>caragua, vacante por fallecimiento de D. Joseph Antonio de la Huerta, al Dr. D. Juan Joseph Perez del Notario, Canónigo Magistral de la colegiata de Logroño: para una Media-Ración de la metropolitana de Manila, vacante por muerte de D. Vicente Ines de Memige, al ‘Presbítero D. Tomas Francisco Casañ</t>
  </si>
  <si>
    <t>Pérez del Rosal, Pablo</t>
  </si>
  <si>
    <t>Pablo Pérez del Rosal</t>
  </si>
  <si>
    <t>erda, á D. Tomas de Mollinedo y Villav ¡cencío-. En atención al particular mérito que ha contrahido D. Pablo Perez del Rosal, director de la fábrica de Paterna, en restablecer en España la fa*» bricacion de la bonetería moruna, de que trata Gampomínes en suApendi á la Educ. popul. part. 4, disc. 8, 24,</t>
  </si>
  <si>
    <t>Pérez Fuentes, Francisco</t>
  </si>
  <si>
    <t>Francisco Pérez Fuentes</t>
  </si>
  <si>
    <t>cia: para el Préstamo de Villamedia-í na, en la diócesis de Calahorra, vacante por fallecimiento de D. Francisco Perez Fuentes, á D. Juan Pereyra: para el Curato rural déL despoblado de Servande, en la diócesis de Avila, la Media-Prestamera de la villa de Villar de Cañas, en la de Cuenca, y el Préstamo de</t>
  </si>
  <si>
    <t>Pérez Garzón, Joseph</t>
  </si>
  <si>
    <t>Joseph Pérez Garzón</t>
  </si>
  <si>
    <t>ander, vacante por ascenso d.e D. Joseph Antonio Norie-» ga á una Canongía de la propia colegial, á D. Joseph Perez Garzón; y para una Media-Ración de la catedral de Calahorra, vacante por promoción de D. Joseph Emeterio de Tovar á una Ración de la misma igle-r sia, á D. Ignacio Andrés del Corral. . E</t>
  </si>
  <si>
    <t>Pérez González, Franciscó</t>
  </si>
  <si>
    <t>Franciscó Pérez González</t>
  </si>
  <si>
    <t>y pueblos mas crecidos del Reyno, y en esta corte en los parages siguientes: Real Monte de Piedad; D. Franciscó Perez González, puerta ‘del Sól, casa de la Inclusa; Ü. Juan Sierra Muñoz , portal de Sta.‘ Cruz; D: Vale ntiñ Retes,calle de las Postas; Don Manu.e.LM&amp;üJIe,..calie.dc la Montera; D. Félix Anton</t>
  </si>
  <si>
    <t>Pérez Mozun, Miguel</t>
  </si>
  <si>
    <t>Miguel Pérez Mozun</t>
  </si>
  <si>
    <t>los caballeros Cadetes del propio cuerpo, baxo la dirección de su maestro el Capitán de granaderos D. Miguel Perez Mozun , presidido por ,e! Excmo. Sr. D.^ Gabriel Aristizabal, Capitán General interino del departamento, y con asistencia de los demas Generales que en él se reúnen, oficiales del mismo</t>
  </si>
  <si>
    <t>Pérez Quiñones, Francisco</t>
  </si>
  <si>
    <t>Francisco Pérez Quiñones</t>
  </si>
  <si>
    <t>a servido nombrar para la Dignidad de Dean de la catedral de Granada, vacante por fallecimiento, de D. Francisco Perez Quiñones, áD. Miguel Cray Vinquel y Zuleta-. para el Priorato déla catedral de Guadix , vacante por muerte de D. Ignae o Cairasco , a D. Andres de A naya y Ribas: para la Dignidad de Tesor</t>
  </si>
  <si>
    <t>Peréz, Andrés</t>
  </si>
  <si>
    <t>Andrés Peréz</t>
  </si>
  <si>
    <t>Ayudante; con grado- de Capitán, D. Joseph Garate, y Súbténericiáj de bandera al -Sargento primero D. Andrés Peréz : en el dé León Capélláhíá ái presbítero D. Manuel Castaño y Asensio: en el de Asturias Compañía al Teniente de granaderos, graduado de Capitán, D. Jacobo Casal; Ayudantía al Teni</t>
  </si>
  <si>
    <t>Pérez, Antonio</t>
  </si>
  <si>
    <t>Antonio Pérez</t>
  </si>
  <si>
    <t>cisco de Paula Castellanos , al Cadete D. Joseph María Somalo, y al Sargento , graduado de Alférez, D. Antonio Perez, y: á Portaguiones á ios Cadetes D. Juan-Francisco Zamudio y D. Nicolás Martínez,, y al Sargento D. Salvador Moreyra. &gt; El Rey se ha servido nombrar para el empleo de Coronel del</t>
  </si>
  <si>
    <t>Pérez, Cayetano</t>
  </si>
  <si>
    <t>Cayetano Pérez</t>
  </si>
  <si>
    <t>Cruzat, D. Domingo Bouligny y D. Igna-! cío Fernandez; á Tenientes de granaderos á los de fusileros D. Cayetano Perez y D. Pedro Palao ; á Tenientes á los Subtenientes D*. Juan Bautista Pellerin, D. Terencio Le-Blanc, D. Benigno Calderón , D. Pedro' Rola, D. Juan Moreno; D. Ursino Bóuiigny, D. Franci</t>
  </si>
  <si>
    <t>Pérez, Francisco</t>
  </si>
  <si>
    <t>Francisco Pérez</t>
  </si>
  <si>
    <t>e granaderos D. Andrés Kiss: en el de infantería de Puebla á Teniente de granaderos al de fusileros D. Francisco Perez; á Teniente de fusileros al Subteniente de granaderos D. Miguel Piñeyro; á Subteniente de granaderos al de fusileros D. Eugenio Lúeas, y á Subtenientes de bandera al Cadete D. Vic</t>
  </si>
  <si>
    <t>Pérez, Joseph</t>
  </si>
  <si>
    <t>Joseph Pérez</t>
  </si>
  <si>
    <t>úeas, y á Subtenientes de bandera al Cadete D. Vicente Castilla y al Sargento primero de granaderos D. Joseph Perez; y en el de infantería de Nueva-España á Teniente al Subteniente D. Manuel Cubillas; á Subtenientes de granaderos á los de fusileros D. Juan Soiis y Don</t>
  </si>
  <si>
    <t>al, ha promovido S. M. al empleo de Capitán al Teniente D. Esteban Ponte; al de Teniente al Alférez D. Joseph Perez; al de Alféreces al Portaestandarte D. Juan Joseph Rodríguez y al Cadete D. Narciso Blanco, y al de Portaestandarte al Cadete D. Joseph María Uztariz. También se ha servido S. M.</t>
  </si>
  <si>
    <t>Pérez, Joseph Miguel</t>
  </si>
  <si>
    <t>Joseph Miguel Pérez</t>
  </si>
  <si>
    <t>Magistral de ella, á D. Joseph Antonio de Lema, Medio-Racionero de la misma; y para esta resulta á D. Joseph Miguel Perez, Cura Vicario, Juez eclesiástico del partido de Axuchistlan, en la diócesis de Mechoacan. El Rey ha nombrado Subteniente del Real cuerpo de Artillería ,,con destino á la provincia</t>
  </si>
  <si>
    <t>Pérez, Pedro</t>
  </si>
  <si>
    <t>Pedro Pérez</t>
  </si>
  <si>
    <t>de cirugía , individuo de la.junta dé sanidad y bibliotecario del Instituto: traducida por el Lie. D. Pedro Perez , profesor dé = cirugía-médica ¿ Ayudante consultor de los Reales exércitos , socio de. varias'-Acaácrnías, .y» Cirujano del primer batallón del regimiento Real de Zapadores y Min</t>
  </si>
  <si>
    <t>Perlasca, Joseph</t>
  </si>
  <si>
    <t>Joseph Perlasca</t>
  </si>
  <si>
    <t>ndole el Gobierno y Comandancia general de las mismas islas, que ha resultado vacante por salida de D. Joseph Perlasca. .También se ha servido S. M. nombrar para la plaza1 de Oidor de la Audiencia de Sevilla, vacante por fallecimiento de D. Antonio Vicente Yañez, al Alcaide,, de la-Qtiadrá de lá m</t>
  </si>
  <si>
    <t>Perler, Juan</t>
  </si>
  <si>
    <t>Juan Perler</t>
  </si>
  <si>
    <t>baio, nada avistaron á pesar de las eficaces diligencias de sus Comandantes los Tenientes de Navio D. Juan Perler y D. Domingo Navarro para encontrarlo, lo que confirma en la sospecha que ya se tenia de que 110 existe semejante escollo. DE ORDEN SUPERIOR. Por suplemento d la Gazeta de Madrid del</t>
  </si>
  <si>
    <t>Perón, Capitán</t>
  </si>
  <si>
    <t>Capitán Perón</t>
  </si>
  <si>
    <t>de 18 años que quedó muy maltratada. París jg de Setiembre. U n corsario de Burdeos, mandado por el Capitán Perón, se ha distinguido batiéndose á la entrada del canal de S. Jorge baxo del cabo Clear con un buque de la compañía inglesa de la India, nombrado el Lord Nelson , y muy superior al s</t>
  </si>
  <si>
    <t>Perrault</t>
  </si>
  <si>
    <t>.0 , á 9 rs. en papel, 1 r en rústica y 15 en pasta. 2= Compendio de la Arquitectura de Vitruvio de Mr. Perrault, traducido al castellano por D. Joseph Castañeda, un tomo en 8.° marquílla, á 12 rs. en pergamino. 2222 Actas de la Real Academia de S. Fernando , desde su solemne abertura en el</t>
  </si>
  <si>
    <t>Perron, General</t>
  </si>
  <si>
    <t>General Perron</t>
  </si>
  <si>
    <t>sesiones hereditarias de s.fl familia, que ocupaban los hclkates quando las tcmáron por órdeiv del ■General Perron: que también era menester que pensase en proveer al establecimiento del viudo Baen,.á quien miraba como su legítimo Soberado. Ei último punto que le recomendaba era relativo á sus</t>
  </si>
  <si>
    <t>Pesino, Luis</t>
  </si>
  <si>
    <t>Luis Pesino</t>
  </si>
  <si>
    <t>nandez de Folgueras. De Teniente Coronel, también de infantería, , al Xefe de brigada de Artillería D. Luis Pesino; á los Sargentos mayores D. Joseph García Pa-r redes y D. Tiburcio Francos; á los Capitanes primeros D. Mariano Breson y D. Juan Vcngoa, y al Capitán segundo D. Juan de Osma: a lo</t>
  </si>
  <si>
    <t>dier D. Nicolás Antuñano, Teniente Coronel del propio cuerpo; á Tenfénte Coronel al Xefe de Brigada D. Luis Pesino, y á Xefe de Brigada al Capitán primero D. Alvaro Chacón. Por el Ministerio de Hacienda se ha comunicado con fecha de 30 de Julio la Real orden siguiente: El Rey se ha servido hab</t>
  </si>
  <si>
    <t>Pessen</t>
  </si>
  <si>
    <t>les si prontamente no les va socorro. •' • : &lt; r*Ratisbona rj de Agosto, S e espera de día en dia á Mr. Pessen, Ministrp $Íel Pu bourg-Schwerin cerca de la Dieta. Se asegura que ha concluido felizmente su encargo, y que el Emperador al fin ha consentido en conferir á su Soberano la dignida</t>
  </si>
  <si>
    <t>Pestalozi</t>
  </si>
  <si>
    <t>h se haga cargo de reembolsar á la comisión de liquidación la quarta parte del capital adelantado á Mr. Pestalozi por. el gobierno helvéticp para el establecimiento de su instituto, y que se excite ai Consejo de Educación á discurrir el modo mas conveniente de poner en planta en el país de Zu</t>
  </si>
  <si>
    <t>Pestalozzy</t>
  </si>
  <si>
    <t>ado que Mr. de Stroin vaya á Burgdorf, en Suiza, para observar y estudiar el método de enseñanza de Mr. Pestalozzy, cuyo método ha sido, examinado por una comisión que ha nombrado el Consejo de execucion, y de la que ha resultado un informe surmamente favorable. ' -/■ Uamburgo 1% cíe Diciembre</t>
  </si>
  <si>
    <t>Pevrieux, Capitán</t>
  </si>
  <si>
    <t>Capitán Pevrieux</t>
  </si>
  <si>
    <t>ón de seguir su rumbo á Boloña.— La división de Dunkerque que estaba aparejándose á las órdenes del Capitán Pevrieux, precedido de esta manera, debi^ pasar luego sin muchos obs</t>
  </si>
  <si>
    <t>Peyret, Joseph</t>
  </si>
  <si>
    <t>Joseph Peyret</t>
  </si>
  <si>
    <t>vocales que adjudicaron los premios eran 9, y votaron en está forma: el primer premio de estatua á D. Joseph Peyret: el segundo premio de figura de cuerpo entero á DonVicente Aparicio : el tercer premio de cabeza á D. Juan Bautista Veza con 7 votos, y obtuvo 2 votos D. V ícente García de Burund</t>
  </si>
  <si>
    <t>Peyrolon, Francisco</t>
  </si>
  <si>
    <t>Francisco Peyrolon</t>
  </si>
  <si>
    <t>do............ Sres. Chavarri y Posadillo. En Toro............ D. Joseph Ligero. En Valencia....... D. Francisco Peyrolon y compañía* En Valladolid...... D. Francisco Durango é hijo mayor. En Zamora.......... D. Vicente Perez de Tejada. En Zaragoza....... D. Tomas de la Madrid. En Zeuta.............. D</t>
  </si>
  <si>
    <t>.......Sres. Chavarri y Posadillo, En Toro................. D. Joseph Ligero. En Valencia....... ;. D. Francisco Peyrolon y compañía. EnValladolid...... D. Francisco Durango é hijo mayor. En Zamora........... D. Vicente Perez de Tejada. En Zaragoza........ D. Tomas de la Madrid. En Zeuta........... D.</t>
  </si>
  <si>
    <t>...... Sres. Chavarri y Posadillo. En Toro...................D. Joseph Ligero. En Valencia......... D. Francisco Peyrolon y compañía. EnValladolid. D. Francisco Durango é hijo mayor. En Zanjora......... D. Vicente Perez de Tejada. En Zaragoza......... D. Tomas de la Madrid. En Zeuta................ D.</t>
  </si>
  <si>
    <t>s niños premiados á la Sq— ciedad, y otra á nombre de las niñas Doña Margarita Caspe. Leyó el socio D. Francisco Peyrolon una canción en elogio de la Sociedad, remitida de Barcelona por el socio D. Pedro Pichó: D. Francisco Baamonde una epístola al mismo objeto : el P. Rafael del Angel Custodio una c</t>
  </si>
  <si>
    <t>Peyrolon, Joseph</t>
  </si>
  <si>
    <t>Joseph Peyrolon</t>
  </si>
  <si>
    <t>mismo cor legio. En el acto de la adjudicación de los premios cedieron la parte pecuniaria de ellos D. Joseph Peyrolon y D. Salvador Lañes. Continuóse publicando la adjudicacion^de los 6 premios ofrecidos á las escuelas y enseñanza de la ciudad de S. Felipe ; y concluido este acto, D. Joaquín D.olz de</t>
  </si>
  <si>
    <t>Pfeisser</t>
  </si>
  <si>
    <t>vuelta al globo , un terreno en Lithuania, que renta anualmente 3® rublos.__ Ai Asesor del colegio, Mr. Pfeisser, autor 4e la gazeta alemana del comercio3 ha regalado S. M. I. una caxa de oro de un trabajo primoroso. Copenhague 11 de Junio. L a fragata la Fredericksteen, que se halla aquí de</t>
  </si>
  <si>
    <t>Philips Stephens</t>
  </si>
  <si>
    <t>hizo y adoptó la propuesta de reunirse en junta de subsidios. No hubo este dia largas discusiones. Sir Philips Stephens propuso á la junta que por el eípacio de 7 meses contados desde el 12 del corriente se aumentasen 40© marineros, incluyendo en este púmero 80© soldados de marina. Reflexionó un vo</t>
  </si>
  <si>
    <t>Pi, Joseph Antonio</t>
  </si>
  <si>
    <t>Joseph Antonio Pi</t>
  </si>
  <si>
    <t>eficio de S. Pedro de las Puellas de la ciudad de Barcelona, vacante por muerte de D. Diego Casó, á D. Joseph Antonio Pi. En el regimiento de infantería de Zaragoza se ha servido S. M. promover á Subtenientes de bandera á D. Francisco Ruiz y á D. César dé Miranda, Sargento primero y Cadete del mismo</t>
  </si>
  <si>
    <t>Pichó, Pedro</t>
  </si>
  <si>
    <t>Pedro Pichó</t>
  </si>
  <si>
    <t>el vice-secretario leyó una oda, remitida desde Barcelona, en alabanza de la sociedad, por el socio D. Pedro Pichó, y otra anacreóntica intitulada el patriotismo, del socio D. Esteban Chaix, de S. Felipe. La distinguida concurrencia, la decoración é iluminación de sala^ y la armonía de una orq</t>
  </si>
  <si>
    <t>ocio D. Francisco Peyrolon una canción en elogio de la Sociedad, remitida de Barcelona por el socio D. Pedro Pichó: D. Francisco Baamonde una epístola al mismo objeto : el P. Rafael del Angel Custodio una canción lírica contra el egoísmo ; y se concluyó con una oda en alabanza de la Sociedad,</t>
  </si>
  <si>
    <t>Pico de Hiedo, Félix</t>
  </si>
  <si>
    <t>Félix Pico de Hiedo</t>
  </si>
  <si>
    <t>e en 4978 pies de sitio, y está tasada en 16,578 rs. Quien quisiere hacer.postura á ella acuda ante D. Félix Pico de Hiedo, Escribano del número de la expresada villa, y Oficial mayor de las escribanías del número y comisiones de la de Madrid, propias de D. Joaquín González de Castro, que lo es de la</t>
  </si>
  <si>
    <t>Pico, Ramón Antonio</t>
  </si>
  <si>
    <t>Ramón Antonio Pico</t>
  </si>
  <si>
    <t>n Cádiz........ . D. Benito de la Piedra. En Cartagena.......D. Manuel de Ozores. En Ciudad-Real... D. Ramón Antonio Pico*</t>
  </si>
  <si>
    <t>. En Cádiz...... D. Benito de la Piedra. En Cartagena........D. Manuel de Ozores. En Ciudad-Real... D. Ramón Antonio Pico. En Córdoba...........Sres. Barcia padre é hijo. En la Coruña........ D. Manuel Antonio Elzaurd?. En Cuenca............. Viuda de Escolar y Noriega é hijo. En Granada......... D.</t>
  </si>
  <si>
    <t>............... D. Benito de la Piedra. En Cartagena........ D. Manuel de Ozores. En Ciudad-Real.,. D. Ramón Antonio Pico. En Córdoba............ Sres. Barcia padre é hijo. En la Coruña.........D. Manuel Antonio Elzaurdi. En Cuenca.............. Viuda de Escolar y Noriega é hijo. En Granada.........</t>
  </si>
  <si>
    <t>Picolas Joseph</t>
  </si>
  <si>
    <t>é Hermosilla: para una Ración de la catedral de Durango, vacante por muerte de B. Francisco Leal, » D. Picolas Joseph de villanueva, Medio-Racionero de la catedral de Vallad olid de Mecho acan y y para otra de la del Nuevo Reyno de Leen , vacante |or renuncia de D- Agustin Madrigal, á D. Antonio Mar</t>
  </si>
  <si>
    <t>Piedra Cueva, Ramón</t>
  </si>
  <si>
    <t>Ramón Piedra Cueva</t>
  </si>
  <si>
    <t>ntonio Garzen de Sanjus y D. Antonio Malagon; y,en el de Toledo al Guardia Marina de la Real armada D. Ramón Piedra Cueva. En América. El Rey se ha servido nombrar para una Canongía de la metropolitana de Santa Fe, vacante por fallecimiento de D. Francisco del Campo y Rivas, á D. Martin Gil y Garcés,</t>
  </si>
  <si>
    <t>Pienk</t>
  </si>
  <si>
    <t>erpo humano , ó doctrina químico-fisiológica de los humores contenidos en el cuerpo humano : por el Dr. Pienk. El nombre solo de este célebre aloman recomienda esta obra, siendo única en su dase , y concillando los conocimientos químicos del dia, desempeñando esta parte de la fisiología c</t>
  </si>
  <si>
    <t>Piferrer, Manuel</t>
  </si>
  <si>
    <t>Manuel Piferrer</t>
  </si>
  <si>
    <t>D. Bernardo Fernandez: en el de Gua— dalaxara Compañías ai Teniente de granaderos del mismo cuerpo D. Manuel Piferrer, y al Ayudante del provincial de Guadix D. Tomas Rivadeneyra, ambos graduados de Capitán; y Subtenencias de bandera á los Cadetes D. Diego Castrillon y D. Romualdo T.ovar: en el d</t>
  </si>
  <si>
    <t>Pigueras, Felipe</t>
  </si>
  <si>
    <t>Felipe Pigueras</t>
  </si>
  <si>
    <t>s. Igualmente han concluido sus estudios, y se hallan en estado de embarcarse con mucha instrucción D. Felipe Pigueras y D. Juan Lagrave—__El número de alumnos que diaria-mente asisten á dicha-academia es de 24. El gasto anual que ocasiona esta escuela, después de dotada de instrumentos y útiles , no</t>
  </si>
  <si>
    <t>Pilis, Joseph</t>
  </si>
  <si>
    <t>Joseph Pilis</t>
  </si>
  <si>
    <t>En América. El Rey se ha servido conferir Compañía en el regimiento de infantería de Buenos-Ayres á D. Joseph Pilis, A3Tudante veterano del batallón de Milicias disciplinada-s de la misma provincia. En el batallón de Milicias disciplinadas de infantería de las Quatro Villas, en la isla de Cuba,</t>
  </si>
  <si>
    <t>Piloña, Diego</t>
  </si>
  <si>
    <t>Diego Piloña</t>
  </si>
  <si>
    <t>de Goatemál'a, á D: Melchor Joseph de Foncerrada, Oidor de la Audiencia de Cuba: para esta plaza á D. Diego Piloña, Fiscal de la de Goatemala: para esta Fiscalía á Don Andrés Morales y Hugalde, Abogado de la Audiencia de Lima; y para una plaza de Oidor de la Audiencia de Cuba, vacante pqr asce</t>
  </si>
  <si>
    <t>Pimpin, Nicolás</t>
  </si>
  <si>
    <t>Nicolás Pimpin</t>
  </si>
  <si>
    <t>anaderos D, Antonio Ortega y D. Joseph Aristizabal; á Subtenientes de granaderos á los de fusileros D. Nicolás Pimpin y D. Jpseph Lisola; á Subtenientes de Compañía á los de bandera D. Placido Duro y D. Joseph Juan Suarez, y á Subteniente de bandera al Cadete D. Joseph Bayot. Para que el publico pued</t>
  </si>
  <si>
    <t>Pin</t>
  </si>
  <si>
    <t>no se ban per último recurso , reservando para ese caso los mcdjqs indicados, por el noble Lord---- Mr. Pin solo se levantó para in artife star que estabasatisfecho de ios principios generales del plan, y que deseaba se süspén-’ diese toda discusión sobre los puntos' particulares que co</t>
  </si>
  <si>
    <t>Pineda, Antonio</t>
  </si>
  <si>
    <t>Antonio Pineda</t>
  </si>
  <si>
    <t>..... 124. 80, Dos estampas que representan una la muerte del primer Teniente de Guardias Españolas D. Antonio Pineda, y la otra el mausoleo erigido á su memoria en Manila por sus amigos y compañeros, á 10 reales cada una............. 20. ia. El retrato de Fernando Magallanes, grabado por D. Fern</t>
  </si>
  <si>
    <t>Pineda, Francisco</t>
  </si>
  <si>
    <t>Francisco Pineda</t>
  </si>
  <si>
    <t>ano de infantería de Caracas se ha servido el Rey promover á Teniente de granaderos al de fusileros D. Francisco Pineda; á Tenientes de fusileros los Subtenientes D. Pablo Sánchez, de granaderos , y D. Juan Escalona ; á Subteniente de granaderos al de fusileros Don Ramón Ayala; á Subteniente de com</t>
  </si>
  <si>
    <t>Pineda, Manuel</t>
  </si>
  <si>
    <t>Manuel Pineda</t>
  </si>
  <si>
    <t>illo, de la misma diócesis de Burgos, vacante por fallecimiento de D. Joseph Joaquín Velez Frías, á Don Manuel Pineda: para otro Beneficio simple servidero de S. Andrés de la villa deCuellar, en la diócesis de Segovia, vacante por muerte de D. Tornas del Valle, á D. Manuel Burgos Barona: para la</t>
  </si>
  <si>
    <t>Pinedo, Ambrosio</t>
  </si>
  <si>
    <t>Ambrosio Pinedo</t>
  </si>
  <si>
    <t>o. . En el regimiento de dragones de Buenós-Ayres se ha servido S. M. promoverá Capitán al Ayudante D. Ambrosio Pinedo; á. Ayudante al Teniente D. Tomas Ortega; á Tenientes á los Alféreces D. Francisco Car- cer, D. Juan Manuel Marín, D. Manuel Garayo, D. Joseph Arenas,Don Joaquín Foruer , D. Pedro</t>
  </si>
  <si>
    <t>Pinel</t>
  </si>
  <si>
    <t>las que no siendo de mucho interes político ni satisfacen la curiosidad ni producen bien alguno. El Dr. Pinel, miembro del Instituto nacional, ha leído á la clase de ciencias físicas y matemáticas una relación de las pruebas que el español&gt; de que tanto se habla, ha dado de su propiedad d</t>
  </si>
  <si>
    <t>Piñeyro, Joaquín María</t>
  </si>
  <si>
    <t>Joaquín María Piñeyro</t>
  </si>
  <si>
    <t>para, la Canongía de la catedral de Falencia, vacante por fallecimiento de D. Ramón de Iturriaga, á D. Joaquín María Piñeyro; y para el Beneficio de la parroquial de S. Martin de ía villa de Alburquerque, ep la diócesis de Badajoz, vacante por ascenso de D. Juan Carballar á otro de Chinchilla, á D. Jose</t>
  </si>
  <si>
    <t>rrejon: para otra dei colegio de Sancti-Spiritus de la ciudad de Santiago, vacante por promoción de D. Joaquín María Piñeyro á una Canongia de la catedral de Palencia, á D. Joseph Domingo López; y para otra de la parroquia de Montalban, diócesis de Zaragoza, vacante por muerte dé p. Joseph ,Espes, á D.</t>
  </si>
  <si>
    <t>Piñeyro, Miguel</t>
  </si>
  <si>
    <t>Miguel Piñeyro</t>
  </si>
  <si>
    <t>granaderos al de fusileros D. Francisco Perez; á Teniente de fusileros al Subteniente de granaderos D. Miguel Piñeyro; á Subteniente de granaderos al de fusileros D. Eugenio Lúeas, y á Subtenientes de bandera al Cadete D. Vicente Castilla y al Sargento primero de granaderos D. Joseph Perez; y en</t>
  </si>
  <si>
    <t>Pió Antonio Rodríguez</t>
  </si>
  <si>
    <t>ena . vacante por promoción de D. JoSeph Oríiz al Déanató de la Colegiata de S; Felipe de Xátiva, á D. Pió Antonio Rodríguez, de Vera, En-el regimiento de Reales Guardias Españolas se ha servido pro-r ¿íover S.iM/f ái primer Ayudañto-mayor al primer Teniente y segundp Ayudante mayor D. Francisco Mosteyr</t>
  </si>
  <si>
    <t>Pió de Aguiar, Antonio</t>
  </si>
  <si>
    <t>Antonio Pió de Aguiar</t>
  </si>
  <si>
    <t>vido S. M. nombrar para la Canongía de merced de la catedral de Buenos-Ayres, vacante por muerte de D. Antonio Pió de Aguiar , á D. Vicente Arroyo, Cura Rector de dicha catedral, y Examinador Sinodal del obispado. El Mercurio de España del mes de Agosto se hallará desde el Junes en el despacho de la imp</t>
  </si>
  <si>
    <t>Pió de Hore, Joseph</t>
  </si>
  <si>
    <t>Joseph Pió de Hore</t>
  </si>
  <si>
    <t>e infantería de Zaragoza se ha servido promover el Rey á Capitán al Ayudante, graduado de Gapitan , D. Joseph Pió de Hore; y á Ayudante ai Teniente de granaderos, graduado de Capitán, D. Manuel Benitez: en el de España á Subteniente de bandera al Teniente dél de milicias de Xerez D. Mariano Velez: en</t>
  </si>
  <si>
    <t>Pío Manrique de Lara, Francisco</t>
  </si>
  <si>
    <t>Francisco Pío Manrique de Lara</t>
  </si>
  <si>
    <t>n; í Exento* de número á los supernumerarios D. Manuel Roca y D. Narciso Belloc; á supernumerario á D. Francisco Pío Manrique de Lara; á Brigadier al Sub-Brígadier D. Joseph Lasala; á Sub-Brigadier al Cadete D. Pedro Torres; á Cadetes de número á los supernumerarios D. Eugenio Ximeno y D. Antonio Barreyro, y á s</t>
  </si>
  <si>
    <t>Pió, Papa</t>
  </si>
  <si>
    <t>Papa Pió</t>
  </si>
  <si>
    <t>tección. Val'ence 30 de Marzo. A yer ha llegado aquí la caxa que contiene el corazón y entrañas del Papa Pió vi, con cuyo motivo saliéron á recibirle todos los cuerpos civiles y militares, y lué muy numeroso el concurso. Entró el acompañamiento en la ciudad , y se tocaron todas las campa</t>
  </si>
  <si>
    <t>Pirez, Domingo</t>
  </si>
  <si>
    <t>Domingo Pirez</t>
  </si>
  <si>
    <t>3°4 ,duado de Teniente Coronel, D. Domingo Pirez, y Ayudantía y Subte-* nencias en el de Borbon al Teniente, graduado de Capitán, D. Blas de Eournas, ai Sargento primero D. Bernardo Juan y al Cadete D. Angel Ffoguer. £1 Rey se h</t>
  </si>
  <si>
    <t>Piriz, Pedro</t>
  </si>
  <si>
    <t>Pedro Piriz</t>
  </si>
  <si>
    <t>a servido conferir en el regimiento de infantería de la Reyna Tenencia al Subteniente de granaderos D. Pedro Piriz: en el de la Corona Compañía al Teniente de granaderos, graduado deCapitan, D. Gárlos Perez de Vera: en el de Granada Ayudantía al Teniente, graduado de Capitán, D. Clemente Torre</t>
  </si>
  <si>
    <t>Pitt</t>
  </si>
  <si>
    <t>á una nación libre e independiente. Mr. Erskine pronunció un excelente discurso. Después se levantó Mr. Pitt, y en una brillante arenga justificó la guerra presente con las agresiones de la Francia; pero sin defender la conducta de los Ministros , en lo que apónas se detuvo. Su discurso</t>
  </si>
  <si>
    <t>conciencia , y que no tenia reparo en preguntar al orador que acababa de hablar , igualmente que á Mr. Pitt, cuyo discurso hizo en la noche anterior una impresión</t>
  </si>
  <si>
    <t>sible considerar sin horror las conseqiiencias quena de traer. Me es muy sensible que la opinión de Mr. Pitt no sea á favor de Ja paz ,y que su talento no se haya empleado en mantenerla: no extraño que los que continuamente clamaban por la guerra,digan ahora que hay justos motivos para h</t>
  </si>
  <si>
    <t>erio con toda la cordura posible, concluye suplicando á la Cámara manifieste claramente su opinión. Mr. Pitt dice que si estuviera persuadido que el primer paso y el mas importante para la salud pública era echar una ojeada sobre la conducta de los Ministros: si pensara que semejante oje</t>
  </si>
  <si>
    <t>sea otros tantos marineros.—Mr. Windham replico á Mr. Pitt, sosteniendo que precisamente era esta la ocasión de examinar los puntos particulares del plan para mudarlos ó corregirlos-----Mr. Pitt se explica conviniendo en que es n uy justo</t>
  </si>
  <si>
    <t>de mandar, y de la quota asignada á los puertos, sin embargo de nó estar sujetos á ella.----Replicó Mr. Pitt en favor de los 5 puertos qué dixo era su obligación defender, exponiendo, que siempre habían estado autorizados á levantar gente á su arbitrio.__ Respondió el Secretario de la Guer</t>
  </si>
  <si>
    <t>l 22 de Junio. Tratándose después ¿i se podrian destinar los voluntarios al servicio de línea, dixo Mr. Pitt, que se debia dexar á arbitrio de S. M. completar los regimientos de línea , ya de los destinados al servicio general, ya de los que se levantanpara el particular. Añadió qu^ no v</t>
  </si>
  <si>
    <t>ades. Al artículo cuyo contenido es que se cobre 5 por 100 del valor de todas las tierras, propuso. Mr. Pitt la enmienda de que se tomase por regla general de la valuación los arriendos , diezmos &amp;c., pretendiendo que este era el medio mas seguro de igualar el impuesto; pero esta proposición</t>
  </si>
  <si>
    <t>M., y entonces verían que el pueblo se unía para defender su patria y su inapreciable constitución. Mr. Pitt dixo que habiendo reflexionado con la mayor atención sobre las providencias propuestas por el noble. Ministro de la Guerra, no podía ménos de aprobarlas, siendo en su opinión las</t>
  </si>
  <si>
    <t>ueba el' ptoyecto de fortificarse, y considéta inútil el establecimiento de un consejó de guerra___ Mr. Pitt aprueba en gran parte el plan de Mr. Crawford: manifiesta la necesidad de asegurarse, y’se extiende sobre las providencias que se tomáron en la última guerra quando era menor el p</t>
  </si>
  <si>
    <t>l orgulloso enemigo que nos amenaza: su trono quedará temblando, y la Europa nos aimirará.” Propone Mr. Pítt algunas ideas suyas relativas á la defensa, y añade: ,,S¿ ha intentado calcular la suerte d/* la invasión y del suceso; pero tales cálculos.no tienen fundamento, pues lo que ningú</t>
  </si>
  <si>
    <t>D. Manuel Navarro. Contiene en la parte política : noticias de Turquía y Alemania : el discurso de Mr. Pitt sobre las negociaciones con la Francia: varias reflexiones extractadas del Semanario político de Cobbett; noticias de Etru-‘ ría: el discurso hecho al Cuerpo legislativo de Franci</t>
  </si>
  <si>
    <t>Pizarro, Diego</t>
  </si>
  <si>
    <t>Diego Pizarro</t>
  </si>
  <si>
    <t>ajero , D. Antonio García, D. Joseph Lacomba, D. Domingo de Aragón , D. Joseph Nuñez, de bandera, y D. Diego Pizarro ; á Subtenientes de granaderos al de fusileros D. Ramón Valldejuli, y al de bandera D. Luis Gineti; á Subtenientes á los de bandera D. Salvador de Valldejuli y D. Joseph Arnau , l</t>
  </si>
  <si>
    <t>Plácido Aguado</t>
  </si>
  <si>
    <t>rez D. Domingo Pavía : en el de Farnesio Sargentía mayor al Capitán , graduado de Teniente Coronel, D. Plácido Aguado^ y Compañía al Ayudante, graduado dé Capitán, D. Francisco Ibarra;: en el de España Compañías á los Ayudantes D. Florencio Amaya y Dóh Juan Casteras; Ayudantías á los primeros Ten</t>
  </si>
  <si>
    <t>Placido Duro</t>
  </si>
  <si>
    <t>los de fusileros D. Nicolás Pimpin y D. Jpseph Lisola; á Subtenientes de Compañía á los de bandera D. Placido Duro y D. Joseph Juan Suarez, y á Subteniente de bandera al Cadete D. Joseph Bayot. Para que el publico pueda ver las preciosidades que posee la Real Academia de las tres Nobles Artes, den</t>
  </si>
  <si>
    <t>Plácido Gómez</t>
  </si>
  <si>
    <t>2 93 gon á Capitán primero al Capitán segundo D. Plácido Gómez: en el de Tarragona á Teniente al Subteniente D. Jacinto Liados: en el segundo batallón de voluntarios de Aragón á Teniente al Subteniene D. Joseph Marques y Mexino; y en el regim</t>
  </si>
  <si>
    <t>Planas, Juan</t>
  </si>
  <si>
    <t>Juan Planas</t>
  </si>
  <si>
    <t>na á D. Ramón Comas: para otro de la parroquia de Vilanova de Escornalbou, diócesis de Tarragona, á D. Juan Planas: para otro de la-de Valjunquera, diócesis de Zaragoza, á Don Francisco Bondia ; y. para la Dpma de la parroquia de Ullestret, diócesis de Gerona, á D. Antonio Sabater. . . S. M. s</t>
  </si>
  <si>
    <t>Planchón, Sebastián</t>
  </si>
  <si>
    <t>Sebastián Planchón</t>
  </si>
  <si>
    <t>I13 servido el Rey promover ájCapitanes al Ayudante D. Luis Lahite y á los Tenientes de granaderos:D. Sebastian Planchón, D. Roque Rioboó y D« Bernardo Lorenzo; á Ayudante al Teniente D. Melchor de Reyna; á Tenientes de granaderos á los de fusileros D. Esteban Liñan, D. Antonio Grijoa y D. Gabriel G</t>
  </si>
  <si>
    <t>Planella, Bartolomé</t>
  </si>
  <si>
    <t>Bartolomé Planella</t>
  </si>
  <si>
    <t>del código civil; y se sancionó el proyecto por 207 votos contra 12. -i Gerona 10 de Mayo. I il R. D. Bartolomé Planella, Cura clavero de esta santa iglesia, en virtud de comisión de este limo. Obispo, bautizó en la mañana del 19* de Marzo último dos negros propios de Benito Calsada, patrón, de la v</t>
  </si>
  <si>
    <t>Planta</t>
  </si>
  <si>
    <t>nsurrección , casi todos los pueblos se han decidido á pagar su contingente. El ciud. Planta, Prefecto.nacional de los Grisones, ha tomado posesión civil,, en nombre del gobierno helvético , . del obispado de Coira, que fué cedida á: la República helvé</t>
  </si>
  <si>
    <t>Plerranz, Joaquín</t>
  </si>
  <si>
    <t>Joaquín Plerranz</t>
  </si>
  <si>
    <t>sa y corte, vacante por promoción de D. Pedro Nicolás del Valle á. otra del Consejo de Hacienda , á D. Joaquín Plerranz y-Abaunza. Asimismo se ha dignado nombrar para el Corregimiento de letras de ]a ciudad de Logroño á D. Santiago de Suso y Anda: para el de la de Vhlena á D. Manuel Antonio Palacios:</t>
  </si>
  <si>
    <t>Plinstem</t>
  </si>
  <si>
    <t>de varias observaciones acerca de sorderas curadas. El Senador Abrial ha comunicado una memoria de Mr. Plinstem, director de la institución de sordo-mudos de Kiel, en que pretende probar que el galvanismo de nada sirve para esta enfermedad; con cuyo motivo oyó la Sociedad la opiuion de algu</t>
  </si>
  <si>
    <t>Poc</t>
  </si>
  <si>
    <t>ección. Se concluyó la ceremonia distribuyendo á los Concurrentes una. oda latina , que leyó S. E., Mr. Poc*zoDut en honor de S. M. I. en la junta pública de 13 de Junio, con motivo de la proclamación del diploma de la universidad, que se juzgó, digna de imprimirse. Copenhague 8 de Novi</t>
  </si>
  <si>
    <t>Poíicarpo Sáenz de Texada Hermoso</t>
  </si>
  <si>
    <t>calde mayor ó pedáneo y el Cura párroco, la qual remitirán desde luego al Secretario de la Sociedad D. Poíicarpo Saenz de Texada Hermoso. 3.* Ai jliempo de la cosecha acreditarán ante los mismos las arrobas cogidas , y con un testimonió igual al anterior presentarán una muestra ai Secreta^ rio de la Sociedad. Don A</t>
  </si>
  <si>
    <t>Poinsot, General</t>
  </si>
  <si>
    <t>General Poinsot</t>
  </si>
  <si>
    <t>dance.de West-Capel, puso sus tropas sobre las armas, y envió un parte á Middelburg, dando aviso al General Poinsot que eb enemigo intentaba un desembarco. Este General marchó inmediatamente al parage amenazado tcon un esquadron de cazadores del 8.° regimiento y otro de caballería bátava. La ve</t>
  </si>
  <si>
    <t>Pola, Ramón</t>
  </si>
  <si>
    <t>Ramón Pola</t>
  </si>
  <si>
    <t>; á Xefe de brigada al Capitán primero D. Antonio de la Cruz; á Capitán primero al Capital* segundo D. Ramón Pola; á Capitanes segundos á los Tenientes D. Joseph Aguílar, D. Fernando Saravia y D. Joseph Diez Texada, y á Te-r nientes de Maestranza á los Subtenientes D. Joseph Hidalgo, D. Luis</t>
  </si>
  <si>
    <t>Policarpo</t>
  </si>
  <si>
    <t>de varias juntas; en ellas se nombraron síndicos para que entregándose de la casa comercio de dicho D. Policarpo, sus efectos, caudales , libros y papeles formasen un estado de sus fondos y existencias, y de los débitos que resultasen contra la dependencia; para lo que se citó á todos los ac</t>
  </si>
  <si>
    <t>Policarpo Sáenz de Tejada Hermoso</t>
  </si>
  <si>
    <t>á la sala de Sres. Alcaldes de la Real casa y corte para conocer en la ocurrencia de acreedores de D. Policarpo Saenz de Tejada Hermoso, vecino y del comercio de ella: en su conseqíiencia se procedió á la convocación de los acreedores residentes en esta villa para la formación de varias juntas; en ellas se nombrar</t>
  </si>
  <si>
    <t>Pomar, Christóbal</t>
  </si>
  <si>
    <t>Christóbal Pomar</t>
  </si>
  <si>
    <t>sta y D. Juan de Molina; á Capitanes segundos á los Tenientes D. Gaspar Hermosa, p. Andrés del Rey, D. Christóbal Pomar y D. Joaquín Gómez, y k Tenientes á los Subtenientes D. Martin Zarandia, D. Ramón Gómez, Don Rafael Riesqh, D. Francisco Calderón y D. Luis Solana. . , Por la Superintendencia general</t>
  </si>
  <si>
    <t>Pomar, Pedro Pablo</t>
  </si>
  <si>
    <t>Pedro Pablo Pomar</t>
  </si>
  <si>
    <t>ehesas. =sMemoria en que se trata de los caballos de España, presentada á la Sociedad aragonesa por D. Pedro Pablo Pomar, Ministro del Consejo. Se hallarán en la librería de Castillo, frente á S. Felipe el Real. Cambios sobre las mas principales plazas de Europa, operados y puestos en práctica según</t>
  </si>
  <si>
    <t>Ponce de León, Juan</t>
  </si>
  <si>
    <t>Juan Ponce de León</t>
  </si>
  <si>
    <t>Nicolás Darcourt, D. Francisco de Corts, D. Cárlos Fitzgerald, D. Juan Brikdale, D. Juan O-Donovan, D. Juan Ponce de León , D. Antonio Lechuga y D. Joseph O-Donell: las de los de 1a Reyna, Corona, Guadalaxara, España, León, Cantabria, Princesa, Extremadura, Málaga y Granaderos Voluntarios de Estado,</t>
  </si>
  <si>
    <t>Ponce de León, Mateo</t>
  </si>
  <si>
    <t>Mateo Ponce de León</t>
  </si>
  <si>
    <t>Extremadura y Ordenes Militares, á los Cadetes del de Reales Guardias Walonas D. Luis de Eigueroa, D. Mateo Ponce de León y D. Fernando Romero y Landa. Para el Gobierno del fuerte de S. Luis de Marbella ha nombrado el Rey á D. Manuel de Artola, Capitán segundo del batallon.de voluntarios de infantería li</t>
  </si>
  <si>
    <t>Ponsich, Juan</t>
  </si>
  <si>
    <t>Juan Ponsich</t>
  </si>
  <si>
    <t>uardias de infantería Española D. Manuel Rodríguez Perez, Don Fráncisco Gregorio, D. Tomas Aguirre, D. Juan Ponsich, D. Felipe del Arco Agüero, D. Joseph Sánchez Tagle, D. Francisco Xaramillo, Don Dionisio López Pinto, D. Mariano Carrillo de Albornoz, D. Francisco Justis ,D. Bernardo Landaburu,</t>
  </si>
  <si>
    <t>Ponsj, Antonio</t>
  </si>
  <si>
    <t>Antonio Ponsj</t>
  </si>
  <si>
    <t>a una Canongía de la colegial de Santa Ana de la ciudad de Barcelona., vacante por fallecimiento de Don Antonio Ponsj á D. Joseph Espinos y Aray: para una Ración de la catedral de Guadix , vacante por promoción de D. Miguel Salido á Cano 11gía de la misma iglesia, á D. Manuel García Baquero; y pa</t>
  </si>
  <si>
    <t>Ponte, Esteban</t>
  </si>
  <si>
    <t>Esteban Ponte</t>
  </si>
  <si>
    <t>caballería de la propia clase de dicha capital, ha promovido S. M. al empleo de Capitán al Teniente D. Esteban Ponte; al de Teniente al Alférez D. Joseph Perez; al de Alféreces al Portaestandarte D. Juan Joseph Rodríguez y al Cadete D. Narciso Blanco, y al de Portaestandarte al Cadete D. Joseph</t>
  </si>
  <si>
    <t>Ponte, Joaquín</t>
  </si>
  <si>
    <t>Joaquín Ponte</t>
  </si>
  <si>
    <t>dos á lós Tenientes D. Ignacio López y D. Tomas Anillo, y á Tenientes á D. Jacobo Gil de Avalle y á D. Joaquín Ponte. En el Real cuerpo de Ingenieros del exército ha nombrado S. M. Subtenientes á los de los regimientos de infantería de Mallorca y de Africa D. Joaquín Ortiz de Zárate y D. Francis</t>
  </si>
  <si>
    <t>Portalis</t>
  </si>
  <si>
    <t>peles de la embaxada y proteger á los vasallos de S¿.M. que allí se hallasen, que por lo que hace á Mr. Portalis ignoraba que estuviese todavía en Londres : que las proposiciones hechas por el gobierno francés después de la salida del Embaxador, habían venido indirectamente, y no de oficio,</t>
  </si>
  <si>
    <t>Portellá de Monteagudo, Francisco</t>
  </si>
  <si>
    <t>Francisco Portellá de Monteagudo</t>
  </si>
  <si>
    <t>eña de la congregación benedictina claustral Tarraconense Cesaraugustana, en el Reyno de Aragón , á D. Francisco Portellá de Monteagudo: para un Beneficio de la parroquia de S. Miguel de los Navarros de la ciudad de Zaragoza, vacante por fallecimiento de D. Nicolás Velarde, á Don Joseph Biul: para otro de la villa</t>
  </si>
  <si>
    <t>Postigo, Andrés</t>
  </si>
  <si>
    <t>Andrés Postigo</t>
  </si>
  <si>
    <t>fusileros D. Joaquín de los Reyes; á Subtenientes de granaderos á los de fusileros D. Joseph Díaz, D. Andrés Postigo y D. Juan Velazquez , y á Subtenientes á los Cadetes D. Felipe Antonio Valencia y D. Mariano Arroyo, y á los Sargentos primeros D. Miguel Garcés, D. Francisco Joseph de Ribera, y D. F</t>
  </si>
  <si>
    <t>Potenciano Cendreras</t>
  </si>
  <si>
    <t>e Ayudante del regimiento de infantería de Milicias disciplinadas de Guayaquil al Teniente Veterano D. Potenciano Cendreras. Asimismo se ha servido S. M. nombrar para el empleo de Teniente Letrado, Asesor y Auditor de Guerra del Gobierno.Intendencia de la Puebla de los xAngeles, en ei Reyno de Nueva-Es</t>
  </si>
  <si>
    <t>Potnbo, Santiago</t>
  </si>
  <si>
    <t>Santiago Potnbo</t>
  </si>
  <si>
    <t>2I« ledo, vacante por fallecimiento; d¿ D. Santiago Potnbo, á 0. Raimundo Olivera, eon la obligación de precisa residencia. ' En el Real cuerpo de Artillería se ha servido S.' M. promover á Capitanes segundos á U&gt;s .Tenientes D. Vicente C</t>
  </si>
  <si>
    <t>Pou, Segismundo</t>
  </si>
  <si>
    <t>Segismundo Pou</t>
  </si>
  <si>
    <t>o la invocación de nuestra Señora, vacante por fallecimiento de D. Francisco Rascón y Sarmentero, á D. Segismundo Pou; y para otro Beneficio de S. Pedro de las Puellas de la ciudad de Barcelona, vacante por muerte de D. Diego Casó, á D. Joseph Antonio Pi. En el regimiento de infantería de Zaragoz</t>
  </si>
  <si>
    <t>Pra</t>
  </si>
  <si>
    <t>uel Simón Puerta, Oficial' segund . para esta plaza, y demas que sucesivamente resultan vacantes, i D. Pra°' cisco Galo Carrasco, D. Miguel de Axpe, D. Joseph de Echeverría* D. Leonardo Garrido; y*para la sexta y ultima plaza al supernumerario D. Joseph Marcinez. En el regimiento de in</t>
  </si>
  <si>
    <t>Prado, Pedro</t>
  </si>
  <si>
    <t>Pedro Prado</t>
  </si>
  <si>
    <t>rcedianato titular de la catedral de Cuenca, y la segunda, por fallecí miento de D. Joseph Aured, á D. Pedro Prado, Cura de la parroquia de Aldobera, en este arzobispado, y á D. Félix Zurbano y Quiñones, Penitenciario del convento de religiosas Agustinas de la Magdalena : para otra Canongía de</t>
  </si>
  <si>
    <t>Prats, Félix</t>
  </si>
  <si>
    <t>Félix Prats</t>
  </si>
  <si>
    <t>de dicho primer batallón de Voluntarios de Barcelona; y ha conferido S. M. igualmente este empleo á D. Félix Prats, Capitán primero del batallón de Voluntarios de Tarragona. Asimismo se ha servido conferir el Rey en el regimiento de infantería de Africa Tenencias á los Subtenientes D. Lucas Vi</t>
  </si>
  <si>
    <t>Presidente Jefferson</t>
  </si>
  <si>
    <t>L VIERNES 18 DE FEBRERO DE 1803. E Nueva-Yorck $o de "Noviembre de 1802, . _ ¡1 Presidente Jefferson, que ha hecho grandes esfuerzos para propagar la vacuna en los Estados-Unidos, ha empleado'igualmente los medios posibles para el mismo fin entre los salvages.</t>
  </si>
  <si>
    <t>Presidente Mr</t>
  </si>
  <si>
    <t>de Londres tuvo su junta el dia de S. Andrés según costumbre ; y fue reelegido Presidente Mr. Banks , y Secretarios Mrs. Planta y Gray. Uaya jo de Noviembre, E 1 caballero de Anduaga, Ministro del Rey de España en el Haya, pasará á residir á Londres en</t>
  </si>
  <si>
    <t>or. Ha establecido un ministerio compuesto de 4 individuos ; y ha sido nombrado Presidente Mr. de Schenk, con el encargo particular de</t>
  </si>
  <si>
    <t>Presidente Napoleón Bou</t>
  </si>
  <si>
    <t>sta de la guarnición francesa de Liorna. Ayer se publicó ain decreto de nuestro Presidente Napoleón Bou,apaste , fecho,en Saint-Cloud el 18 de Agosto, que convoca para i.° de Octubre el Cuerpo legislativo de la República italiana. &gt; Escriben de Mantua que ha lleg</t>
  </si>
  <si>
    <t>Pretel, Joseph</t>
  </si>
  <si>
    <t>Joseph Pretel</t>
  </si>
  <si>
    <t>umerario á D. Antonio Arteaga; á Cadete de número á D. Tomas Despuig, y á Supernumerario al Guardia D. Joseph Pretel. También se ha servido S. M. conferir en el regimiento de infantería de Africa Subtenencia de bandera al Sargento primero D. Joseph Luis: en él de Sevilla Tenencia al Subteniente</t>
  </si>
  <si>
    <t>Priego, Antonio</t>
  </si>
  <si>
    <t>Antonio Priego</t>
  </si>
  <si>
    <t>ho Ayuntamiento el día .último de Agosto. La persona que supiere el paradero de Antonio Priego, natural de la villa de Saelices, obispado de Cuenca , en la provincia de la Mancha alta, que por los años de iy8o se hallaba sirviendo en uno de los conventos de la ciudad de Ante</t>
  </si>
  <si>
    <t>Prieto, Bernardo</t>
  </si>
  <si>
    <t>Bernardo Prieto</t>
  </si>
  <si>
    <t>de granaderos, P Francisco Cañedo y D. Joseph Bernardo , y á Subtenientes de bandera á los Cadetes D. Bernardo Prieto, D. Cirilo Lessasier, D. Juan Treviño y D. Luis Dreux, y los Sargentos primeros D. Toitiás Benávides, de granaderos, y D, Juan Galguera.</t>
  </si>
  <si>
    <t>Prieto, Gregorio</t>
  </si>
  <si>
    <t>Gregorio Prieto</t>
  </si>
  <si>
    <t>servido conferir en el regimiento de caballería de Farnesio Ayudantía al primer Teniente reformado D. Gregorio Prieto: en el de Montesa el empleo de Portaestandarte al Sargento segundo distinguido D. Dionisio Carro; y en el de Húsares de Olivencia Compañías á los Tenientes, graduados de Capitán,</t>
  </si>
  <si>
    <t>Priñsep</t>
  </si>
  <si>
    <t>del bilí, y se determino la segunda para el día s:guíente. El mismo dia en la Cámara de los Comunes Mr. Priñsep díxo : ,,Que había oido. con satisfacción la declaración lisonjera que el. Canciller del Echiquier habia hecho sobre el estado de las cosas pero que sin embargo , podría haber inc</t>
  </si>
  <si>
    <t>Prinsep</t>
  </si>
  <si>
    <t>o sobre el estado del banco, sino del comercio, fixando al i.°rde Mayo el término de la suspensión. Mr. Prinsep habló en favor de la propuesta, y el Chanciller del Echiquier replicó á Mr. Bankes ,,que la información seria inútil, porque solo manifestarla lo que todos saben: que no puede fix</t>
  </si>
  <si>
    <t>Proust, Luis</t>
  </si>
  <si>
    <t>Luis Proust</t>
  </si>
  <si>
    <t>gular: para hacerla mas útil y dar á la traducción española un mérito superior al original francés, D. Luis Proust, profesor de química en esta corte, se ha encargado de enriquecerla con muy importantes notas.-También añadirá los adelantamientos que por su parte ha hecho. Atendiendo el Gobiern</t>
  </si>
  <si>
    <t>de las Carretas. Indagaciones sobre el estañado del cobre, la vaxilla de estaño y el vidriado: por D. Luis Proust. Se hallará á 6 rs. en el despacho de la imprenta Real. Dos estampas que representan las edades de 30 y 40 años , en continuación de la colección de la edad del hombre. Se hallará</t>
  </si>
  <si>
    <t>nubes en el año de 1779, lo que hasta ahora se había mirado como una preocupación; y analizada por D. Luis Proust, profesor de química en esta corte, se encuentra qüe su análisis presenta los mismos resultados que se han hallado en las demas que han caído en otras partes, y de consiguiente es</t>
  </si>
  <si>
    <t>artículo anterior. El jueves i.° de Diciembre dará principio á las lecciones de química el profesor D. Luis Proust, y se continuarán los martes , juéves y sábados de cada semana desde las once hasta la una. El dia 29 de Octubre último falleció en la ciudad de Viana, su patria, en el Reyno de N</t>
  </si>
  <si>
    <t>Prudencio Sanz de Gatay</t>
  </si>
  <si>
    <t>Prestamera dé la parroquial de Villavieja, en el obispado de Ciudad-Rodrigo , yacanté por muerte dé D. Prudencio Sanz dé Gatay ,4 'á D¿ Mariano de los Ríos; Vpara el Beneficio de la parroquia de Béniel, e* la .diócesis de Cartagena . vacante por promoción de D. JoSeph Oríiz al Déanató de la Colegiata de S</t>
  </si>
  <si>
    <t>Puerta, Manuel Simón</t>
  </si>
  <si>
    <t>Manuel Simón Puerta</t>
  </si>
  <si>
    <t>yz ori rha nombrado el Rey á D. Manuel Simón Puerta, Oficial' segund . para esta plaza, y demas que sucesivamente resultan vacantes, i D. Pra°' cisco Galo Carrasco, D. Miguel de Axpe, D. Joseph de Echeverría* D. Leonardo Garrido; y</t>
  </si>
  <si>
    <t>Pueyo, Ramón</t>
  </si>
  <si>
    <t>Ramón Pueyo</t>
  </si>
  <si>
    <t>1 Rey se ha servido nombrar para la Canongía de la catedral de Jaén , vacante por fallecimiento de D. Ramón Pueyo , á D. Francisco Xavier Tristan: para la Ración que este obtiene en !a misma iglesia , y resultará vacante, á D. Manuel Joseph Palomares: para otra Ración de la misma catedral, va</t>
  </si>
  <si>
    <t>Puisserxer, Bernardo</t>
  </si>
  <si>
    <t>Bernardo Puisserxer</t>
  </si>
  <si>
    <t>ue se esperaba tanta utilidad. En efecto, ha resultado que se hallan embarcados los alumnos de ella Don Bernardo Puisserxer en la América; D. Andrés Izquierdo para la costa de Galicia y Mediterráneo; D. Juan Áicaraz para Puerto-Rico y la Havana, en donde fué examinado y hecho Pilotín; D. Joseph Castelar</t>
  </si>
  <si>
    <t>Pujante y García, Joseph</t>
  </si>
  <si>
    <t>Joseph Pujante y García</t>
  </si>
  <si>
    <t>na Canongía que se halla vacante en la propia catedral de Orihuela, por muerte de D. Juan Vicent, á D. Joseph Pujante y García, Cura de la parroquial de S. Miguel de la ciudad de Alcaraz, en el arzobispado de Toledo; y para otra Canongía de la colegial de Guisona, diócesis de Urgel, vacante por fallecimie</t>
  </si>
  <si>
    <t>Pumas</t>
  </si>
  <si>
    <t>odernos que han hecho esta ciencia enteramente nueva : estaba reservado para el ciud. Pumas esta ardua y difícil empresa, que ha desempeñado á satisfacción de todos los sabios de Europa: otras varias fisiologías se han escrito en estos últimos tiempos d</t>
  </si>
  <si>
    <t>Pusterla y Lerin, Juan</t>
  </si>
  <si>
    <t>Juan Pusterla y Lerin</t>
  </si>
  <si>
    <t>guez, D. Pablo Argaiz y Aranguren, D. Pablo Ventades y Martínez, D. Agustín Salazar y Allendelagua, Don Juan Pusterla y Lerin, D. Pedro del Barco y la Cendeja, D. Francisco Saravia y Zuazo, D. Manuel Cebriaa y Castro, D. Antonio Esparza Go* méz de Bonilla, D. Vicente Cabeza de Vaca y D. Andrés Amat y Tof</t>
  </si>
  <si>
    <t>Pusterla, Manuel María</t>
  </si>
  <si>
    <t>Manuel María Pusterla</t>
  </si>
  <si>
    <t>238 niente Coronel, D. Manuel María Pusterla: el empleo de segundo Capítan en el regimiento Suizo de Betschart al Teniente del mismo D. Félix Meyer: Igual empleo en el de Rutiman al Teniente del propio cuerpo D. Francisco Xa</t>
  </si>
  <si>
    <t>QJbispo de Constanza, Príncipe</t>
  </si>
  <si>
    <t>Príncipe QJbispo de Constanza</t>
  </si>
  <si>
    <t>había convenido en dat una pensión Anual .de 20© florines ai Elector Arehicanciller, ea calidad de Príncipe QJbispo de Constanza. . • ••; - -;' r. , , De Munich escriben que el Conde.de Elz, Embaxador del Emperador de Alemania en la corte de Madrid, ha pasado por:aquella ciudad el día 2, de donde continuará</t>
  </si>
  <si>
    <t>Quadrado, Christóbal</t>
  </si>
  <si>
    <t>Christóbal Quadrado</t>
  </si>
  <si>
    <t>la de-Almoradí,, diócesis de Grihuela-, vacanre por fallecimiento de D. Francisco Xavier Sánchez, á D. Christóbal Quadrado: para otro Beneficio patrimonial de la parroquial de la villa de Sadaba, diócesis de Jaca , vacante por muerte de D. Joseph Serrano, á D. Sebastian Laborda: para otro Beneficio de</t>
  </si>
  <si>
    <t>Quadrado, Miguel</t>
  </si>
  <si>
    <t>Miguel Quadrado</t>
  </si>
  <si>
    <t>é Izquierdo; y para otra también Penitenciaria .de la misma catedral , vacante por fallecimiento de D. Miguel Quadrado, á D. Andrés Sans. El Rey se ha servido conceder en.el regimiento de infantería de Toledo Tenencias á los Subtenientes de igranaderos D. Joaquin de Soto y D. Raymundo Ruiz: en el</t>
  </si>
  <si>
    <t>Queraltó, Joseph</t>
  </si>
  <si>
    <t>Joseph Queraltó</t>
  </si>
  <si>
    <t>ámina : por D. Miguel Cavanellas. =:Observaciones sobre los gases ácido*minerales, que por orden de D. Joseph Queraltó, Físico de cámara de S. M., hizo D. Miguel Cavanellas &amp;c. Se hallarán el i.° á 12 y Jas Observaciones á 4 rs. en la librería de Castillo; en Valencia en casa de Pastor Fuster, en</t>
  </si>
  <si>
    <t>Quevedo Bustamante</t>
  </si>
  <si>
    <t>yuntamiento de dicha villa D. Juan Joseph lagares , y en Madrid á D. Manu.el de Quevedo Bustamante , Secretario de la Subdelegaron de imprentas y librerías del reyno, calle ancha de. Peligros, núm. 18, quarto segundo. . ' , : Institutiones philosophiae D. D. Archíepiscopi Lugchmensis, ad us</t>
  </si>
  <si>
    <t>Queypo de Llano, Joaquín</t>
  </si>
  <si>
    <t>Joaquín Queypo de Llano</t>
  </si>
  <si>
    <t>con la Canongía que tiene unida/ vacante por muerte de D. Joaquín López, á D. Joaquín Queypo de Llano: para una Canongía de la catedral de Cuenca, vacante por fallecimiento de D. Felipe López de Pinedo, á D. Joaquín de Urrutia y las Casas: para otra de la de Sigüenza, vacante por</t>
  </si>
  <si>
    <t>D. Luis Lladosa Fernandez, á D. Joaquín Pastor: para la de la d-e Zamora, vacante por promoción de D. Joaquín Queypo de Llano al Arcedianato de Cea de la catedral de León, á D. Manuel González Herrero: para la Ración que este obtiene en la misma iglesia de Zamora, y resultará vacante, á D. Marcelino Sánc</t>
  </si>
  <si>
    <t>Quilti de Valois, Nicolás</t>
  </si>
  <si>
    <t>Nicolás Quilti de Valois</t>
  </si>
  <si>
    <t>uría á D. Francisco Joseph Bernal, Contador de las Caxas de Valladolid de Mechoacan: esta resulta á D. Nicolás Quilti de Valois, que servia igual destino en las de Pachaca; y esta última á D. Félix Bourman. Por el Ministerio de Hacienda se ha comunicado con fecha de 2 de este mes ia Real orden siguiente; ^</t>
  </si>
  <si>
    <t>Quiñones, Joseph</t>
  </si>
  <si>
    <t>Joseph Quiñones</t>
  </si>
  <si>
    <t>de granaderos D. Santiago de Córdoba y D. Diego Urrutia; á Teniente} de granaderos á los Tenientes D. Joseph Quiñones y D. Tomas Delgado} á Tenientes á los Subtenientes de granaderos D. Eugenio Tarrio, D. Ra-t fael García y D. Manuel Urrutia, y á Subtenientes de granaderos á lo} de fusileros D. Patri</t>
  </si>
  <si>
    <t>isciplinadas de infantería de Puerto-Rico se ha servido el Rey promover á Capitanes á los Tenientes D. Joseph Quiñones , D. Tomas Delgado, D. Valentín Fernandez y D. Agustín Román, los dos primeros de granaderos; á Tenientes de granaderos á los de fusileros D. Manuel Rodríguez y D. Joseph Ramírez;</t>
  </si>
  <si>
    <t>Quintano y Solís, Fernando</t>
  </si>
  <si>
    <t>Fernando Quintano y Solís</t>
  </si>
  <si>
    <t>por estima corregida.. 54 50 00 La fragata de guerra la María, al mando del Capitán de igual ciarse D. Fernando Quintano y Solís, en su navegación de la costa de Chile á Filipinas el 16 de Febrero de 1796 vio la isla y arrecifes de S. Bartolomé, dándoles la situación siguiente. Latitud N. O de Cádiz. Extrem</t>
  </si>
  <si>
    <t>Quirds, Pedro</t>
  </si>
  <si>
    <t>Pedro Quirds</t>
  </si>
  <si>
    <t>. Joseph Aristizabal , y á Subtenientes de bandera al Cadete D. Antonio Bayot y al Saigento primero D. Pedro Quirds. El Key^ se ha servido conferir el empleo de Capitán del cuerpo veterano de infantería de Cumaná al Ayudante mayor del prepio cuerpo D. Francisco González Moreno; esta resulta al</t>
  </si>
  <si>
    <t>Quirós, Antonio</t>
  </si>
  <si>
    <t>Antonio Quirós</t>
  </si>
  <si>
    <t>tratados de secciones cónicas y máximas de fortificación: tiene un año y quatro meses de servicio. Don Antonio Quirós, igual en ordenanza á los anteriores, se halla instruido en la aritmética, geometría especulativa, secciones cónicas, y dixo un discurso sobre ellas: tiene un año y tres meses de</t>
  </si>
  <si>
    <t>Quixano, Gabriel</t>
  </si>
  <si>
    <t>Gabriel Quixano</t>
  </si>
  <si>
    <t>corresponda de la citada herencia. Epístolas de S. Pablo parafraseadas, traducidas del toscano por D. Gabriel Quixano, presbítero , con una estampa fina del Santo : quarta edición muy corregida. Se hallará en las librerías de, esta corte, á ip rs. en pergamino y 12 en pasta. Contemplación de la v</t>
  </si>
  <si>
    <t>Quixano, Joseph</t>
  </si>
  <si>
    <t>Joseph Quixano</t>
  </si>
  <si>
    <t>En el Real cuerpo de Artillería se ha servido el Rey promover á Teniente Coronel al Xefe de brigada D. Joseph Quixano: á Xefe de brigada al Capitán primero, graduado deTeniente Coronel, D. Rafael de Hoces: á Capitán primero al Capitán segundo D. Francisco Sanchiz; y á Capitán segundo al Teniente</t>
  </si>
  <si>
    <t>Quixano, Pedro</t>
  </si>
  <si>
    <t>Pedro Quixano</t>
  </si>
  <si>
    <t>o Marques de Camarena la Real: la del de Nápoles al Teniente Coronel y Co-, mandante del de Sevilla D. Pedro Quixano: la Sargentía mayor del de Saboya al Capitán del de Navarra, graduado de Teniente Coronel, Don Agustin Golomina: la del de la Corona al Capitán del de Zaragoza, graduado de Tenien</t>
  </si>
  <si>
    <t>Quixote</t>
  </si>
  <si>
    <t>e adjudicaron y dístribuyéron 6 premios , que consistieron en otros tantos ejemplares de la obra de D. Quixote en pasta ; á saber , los 3 primeros á D. Ramón Berreta , D. Juan Hermoso y D. Santiago Martínez de Heredia como mas sobresalientes: el 4.0 y 5.0 á D. Francisco Perez de Arce y D. An</t>
  </si>
  <si>
    <t>Quixote de la Mancha</t>
  </si>
  <si>
    <t>6 rs. en pasta y 12 en rústica, m Historia del mas famoso escudero Sancho Panza, desde la muerte de D. Quixote de la Mancha: 2 tomos en 8.° Véndense en las librerías de Castillo y de la viuda de Cerro, calle Alcalá. Elogio del Excmo. Sr. Conde de Campománes, Director de la Real Academia de Jurisprudenc</t>
  </si>
  <si>
    <t>Ra-t</t>
  </si>
  <si>
    <t>Joseph Quiñones y D. Tomas Delgado} á Tenientes á los Subtenientes de granaderos D. Eugenio Tarrio, D. Ra-t fael García y D. Manuel Urrutia, y á Subtenientes de granaderos á lo} de fusileros D. Patricio Gandía, D. Pedro Silva y D. Casimiro Estevas.' Con fecha de ió de Febrero se ha comu</t>
  </si>
  <si>
    <t>Rabaud</t>
  </si>
  <si>
    <t>Senadores, Ministros, Consejeros de Estado é Inspectores generales de armas. El ciud. Rabaud el joven, llevando la voz, hizo un discurso en que manifestó la satisfacción con que mira el Cuerpo legislativo las inmortales tareas del primer magistrado, los</t>
  </si>
  <si>
    <t>Raimundo Martín Estevez</t>
  </si>
  <si>
    <t>93° tra de Vallad®Ud, á D. Raimundo Martín Estevez:, Racionero de fe misma catedral: para una Ración de la catedral' de Orense á I&gt;. Luís Antonio Taboada y Ulloa, Cura de la parroquia de S. Juan^, de Lázaro y Santa María de Arnego</t>
  </si>
  <si>
    <t>Raine</t>
  </si>
  <si>
    <t>as tripulaciones, y harán sus esfuerzos para llegar 4 six,desíino, que e^ indudable sea Irlanda. ,, Mr. Raine&gt; ^iempo .rabr.ipaíite de cervpza en Londres, fundó dprante .su* vida,,unaj.qfcuel^a gratuita*p$fa educar las huérfanas de dos parroquias.de aquella.capital, en que se Jes enseñase</t>
  </si>
  <si>
    <t>Rainon Ducocq</t>
  </si>
  <si>
    <t>ey se ha servido conceder en el regimiento de infantería de VaTenencia al Subteniente de granaderos D. Rainon Ducocq; y en el de Cantabria Subtenencia de bandera ai Sargento primero de granadero* del de Ñápeles D. Ramón Gave.</t>
  </si>
  <si>
    <t>Ramal, Ramón</t>
  </si>
  <si>
    <t>Ramón Ramal</t>
  </si>
  <si>
    <t>raduado de Capitán, D. Nicolás del Campo: en el de Calatrava Ayudantía al primer Teniente reformado D. Ramón Ramal; el empleo de Alférez al Portaestandarte D. Leandro Quirós, y Portaestandartes al Cadete D. Antonio Laso de la Vega, al de igual clase D. Juan Bertendona y al Sargento primero dis</t>
  </si>
  <si>
    <t>Ramírez Calvo, Gregorio</t>
  </si>
  <si>
    <t>Gregorio Ramírez Calvo</t>
  </si>
  <si>
    <t>Rey se ha servido nombrar para una Media-Ración de la iglesia de la Havana, vacante por renuncia de D. Gregorio Ramírez Calvo, á D. Joseph María de Reyna, Catedrático de teología de su universidad. En cumplimiento de las Reales cédulas de S. M. de 15 de Julio y 29 de Noviembre de 1797 se recibirán en la</t>
  </si>
  <si>
    <t>Ramírez de Arellano, Joseph</t>
  </si>
  <si>
    <t>Joseph Ramírez de Arellano</t>
  </si>
  <si>
    <t>alleció á la edad de 101 años el párroco de S. Estéban, del concejo de Labiana; diócesis de Oviedo. Don Joseph Ramírez de Arellano, vecino y del comercio de la ciudad de Sevilla, remitió á los Sres. viuda de Trotiaga é hijo, de Bilbao, 4 vales Reales de 300 pesos, creación de i.° de Mayo,núm$. 470779,478346,</t>
  </si>
  <si>
    <t>Ramírez de la Pecina, Joseph</t>
  </si>
  <si>
    <t>Joseph Ramírez de la Pecina</t>
  </si>
  <si>
    <t>. Joseph Lisach ; habiendo también nombrado S. M. en el regimiento de Africa Capellán al presbítero D. Joseph Ramírez de la Pecina. En América* En el regimiento de infantería de la Corona deNuevar España se ha servido ed Rey promover á Teniente Coronel al Sargento mayor D. Nicolás Iberríj á Teniente de granad</t>
  </si>
  <si>
    <t>Ramiréz de Luque, Fernando</t>
  </si>
  <si>
    <t>Fernando Ramiréz de Luque</t>
  </si>
  <si>
    <t>e santos mártires , confesores y varones venerables del clero secular : su autor el Cura de Lucena, D. Fernando Ramiréz de Luque : los justos motivos que han estimulado al autor de esta obra (original en su clase) están bien mar ñiíiestos en el prólogo del tomo i.° que aquí se anuncia; y quando no , ellos s</t>
  </si>
  <si>
    <t>Ramírez, Christóbal</t>
  </si>
  <si>
    <t>Christóbal Ramírez</t>
  </si>
  <si>
    <t>rvido nombrar para una Canongía de merced de la catedral de la Havana, vacante por fallecimiento de Don Christóbal Ramírez, á D. Juan Francisco Mendez, Racionero de la misma: para esta Ración, al Medio-Racionero D. Joseph María, de Rey ñas para esta resulta á D. Manuel Guerrero Sánchez, electo Medio-R</t>
  </si>
  <si>
    <t>Ramirez, Joseph</t>
  </si>
  <si>
    <t>Joseph Ramirez</t>
  </si>
  <si>
    <t>: para otro Beneficio de la parroquial del lugar de la Adrada, en la diócesis de Avila, que obtenia D. Joseph Ramirez, á D. Pedro Sánchez Llórente: para otro, vacante en la misma parroquial por fallecimiento de D. Cosme García Porro, áD. Ambrosio Delgado, con la obligación de precisa y personal r</t>
  </si>
  <si>
    <t>Ramírez, Pedro</t>
  </si>
  <si>
    <t>Pedro Ramírez</t>
  </si>
  <si>
    <t>á Alféreces al Cadete D. Vicente Dávila y al Sargento primero de carabineros, gradeado. de Alférez, D. Pedro Ramírez. , ‘ Conociendo S. -la utilidad dé la Botánica , y lo mucho qiiíPlnfluye eñ la Medicina, hárrnacía y Economía, y deseando por lo mismo promover sii'estudio, se dignó señalar tresr</t>
  </si>
  <si>
    <t>Ramiro y Martín, Joseph Manuel</t>
  </si>
  <si>
    <t>Joseph Manuel Ramiro y Martín</t>
  </si>
  <si>
    <t>Urrero y Casaseca. En Santander...... Sres. Vial é hijo y compañía. En Segovia........... Viuda de D. Joseph Manuel Ramiro y Martin. En Sevilla............D. Joseph Antonio Gómez é hijo. En Soria.............. D. Andrés Martinez de Aparicio. En Toledo............ Sres. Chavarri y Posadillo. En Toro............</t>
  </si>
  <si>
    <t>Urrero y Casaseca. En Santander....... Sres. Vial é nijo y compañía. En Segovia............Viuda de D. Joseph Manuel Ramiro y Martin. En Sevilla......... . D. Joseph Antonio Gómez é hijo. En Soria........ .......D. Andrés Martínez de Aparicio. En Toledo.............Sres. Chavarri y Posadillo, En Toro...........</t>
  </si>
  <si>
    <t>rero y Casaseca. En Santander........Sres. Vial é hijo y compañía. En Segovia............. Viuda de D. Joseph Manuel Ramiro y Martin. En Sevilla.............. D. Joseph Antonio Gómez é hijo. En Soria................ D. Andrés Martínez de Aparicio. En Toledo............... Sres. Chavarri y Posadillo. En Toro....</t>
  </si>
  <si>
    <t>Ramis, Agustín</t>
  </si>
  <si>
    <t>Agustín Ramis</t>
  </si>
  <si>
    <t>no de 8 meses, contados desde este día, á legitimar su derecho al executor de Doña Josepha Lexalde; D. Agustín Ramis, Canónigo de la catedral de Tarazona en Aragón, donde reside , pasado cuyo término les parará perjuicio. Orationes ex Sallustii, Livii, Taciti et Curtii historiis collectae: ad us</t>
  </si>
  <si>
    <t>Ramóií Valcarce, Juan</t>
  </si>
  <si>
    <t>Juan Ramóií Valcarce</t>
  </si>
  <si>
    <t>lta y del Tucuman á D. Norbertó Monterola, Teniente del regimiento de dragones de Buénos-Ayres, y a D. Juan Ramóií Valcarce, Teniente del cuerpo de caballería de Blandengues del mismo Buenos-Ayres. La Real junta de hospitales General y de la Pasión de Madrid, en cumplimiento de los piadosos objetos de</t>
  </si>
  <si>
    <t>Ramona Blanc</t>
  </si>
  <si>
    <t>seph Rou’re, á hombre de’ los niños recitó'una poesía1 gratulatoria, y dixo otra en el de las niñas Doña Ramona Blanc. Continuó el socio D. Joseph Inocencio de Llano , secretario de la -asociación de eomboyes, leyendo la relación histórica de este establecimiento desde el año 1S01 hasta su feliz</t>
  </si>
  <si>
    <t>Ramond</t>
  </si>
  <si>
    <t>l xefe del estado, el valor del exército, y el talento del primer Cónsul.”__ El ciud. Ramond, orador de la diputación del Cuerpo legislativo, hizo un discurso eloqiiente, en que tocaba los mismos puntos con mas extensión y energía. ,,¿Tomará {dice habl</t>
  </si>
  <si>
    <t>Ramos y Redondo, Antonio</t>
  </si>
  <si>
    <t>Antonio Ramos y Redondo</t>
  </si>
  <si>
    <t>ficio de la parroquia de la villa de Utiel, en la diócesis de Cuetica, vacante por Fallecimiento de D. Antonio Ramos y Redondo, á D. Juan Bautista de Emparan; y para ia Capellanía de Coro de la santa iglesia de Toledo, vacante por promoción de D. Fermín Quadros á una Ración de la misma iglesia, á D. Cándi</t>
  </si>
  <si>
    <t>Ramos, Joseph Antonio</t>
  </si>
  <si>
    <t>Joseph Antonio Ramos</t>
  </si>
  <si>
    <t>r de la Audiencia de Cuba, vacante pqr ascenso d$ D. Pedro Catani á Regente de la de Guadalaxara, á D. Joseph Antonio Ramos , Corregidor de la villa de Onteniente, en el Reyno de Valencia. En la extracción extraordinaria de la Real lotería executada el lunes 4 del corriente, salieron los números 13, 60</t>
  </si>
  <si>
    <t>Rancaño de Canelo, Luis</t>
  </si>
  <si>
    <t>Luis Rancaño de Canelo</t>
  </si>
  <si>
    <t>192 su Ayo el Coronel de Ingenieros D. Luis Rancaño de Canelo, y por partida detras de ella la Compañía Española de Reales Guardias de Corps, con el Excmo. Sr. Marques de Branciforte, Sargento mayor.del Cuerpo, á la cabeza, acompañado del Ca</t>
  </si>
  <si>
    <t>Ranson, Capitán</t>
  </si>
  <si>
    <t>Capitán Ranson</t>
  </si>
  <si>
    <t>paños finos por el valor de 20 á 30© esterlinas; pero el equipage se lia salvado por el auxilio del Capitán Ranson , comandante del bergantín Frens. En la isla de Oland cerca de Borgholm se ha encontrado una gran cantidad de moneditas coptas,que probablemente hace mas de 800 años que allí está</t>
  </si>
  <si>
    <t>Rapp, General</t>
  </si>
  <si>
    <t>General Rapp</t>
  </si>
  <si>
    <t>servicio de la Francia pero la policía anda indagando quienes son los autores de esta noticia. —El General Rapp llegó á</t>
  </si>
  <si>
    <t>Rapp----- Reding, General</t>
  </si>
  <si>
    <t>General Rapp----- Reding</t>
  </si>
  <si>
    <t>na comisión particular. Al dia siguiente por la mañana vólviéron á conferenciar, y desdes partió el General Rapp----- Reding ha dado cuenta de estas conferencias al Consejo Mayor de Schwitz^diciendo que el erad. Rapp le habla asegurado la constante benevolencia del primer Cónsul para los cantones pequeñ</t>
  </si>
  <si>
    <t>Rasanof</t>
  </si>
  <si>
    <t>rusos destinados á hacer el viage al rededor del mundo han llegado á esta rada, trayendo á bordo á Mr. Rasanof, Embaxaior en el Japón, y otras varias personas. El dia 14 se celebro la fiesta de la cosecha, á que asistió la Princesa, hija de S. A. nuestro Príncipe hereditario, y baylo con l</t>
  </si>
  <si>
    <t>Rascón y Sarmentero, Francisco</t>
  </si>
  <si>
    <t>Francisco Rascón y Sarmentero</t>
  </si>
  <si>
    <t>ía de Estany, diócesis de Vique, baxo la invocación de nuestra Señora, vacante por fallecimiento de D. Francisco Rascón y Sarmentero, á D. Segismundo Pou; y para otro Beneficio de S. Pedro de las Puellas de la ciudad de Barcelona, vacante por muerte de D. Diego Casó, á D. Joseph Antonio Pi. En el regimiento de</t>
  </si>
  <si>
    <t>Raseti, Luis</t>
  </si>
  <si>
    <t>Luis Raseti</t>
  </si>
  <si>
    <t>ta D. Antonio Dieste: en el de Hibernia empleos de Ayudantes á los Tenientes, graduados de Capitán, D. Luis Raseti y D. Joseph Llopis; y en el de la Princesa el mismo empleo de Ayudante al Teniente, graduado de Capitán, D. Eusebio Escudero. Asimismo se ha servido S. M. conferir en el regimiento de</t>
  </si>
  <si>
    <t>Rasisti, Conde</t>
  </si>
  <si>
    <t>Conde Rasisti</t>
  </si>
  <si>
    <t>ués de haber obtenido el beneplácito de S. M. I., y salieron nombrados el Comendador Montclare y el Conde Rasisti, para ir á Mesina, á Malta, 6 adonde quiera que se nalle el Gran Maestre , á cumplimentarle en nombre del gran Priorato, de Rusia, y entregarle la parte de los archivos que hay en</t>
  </si>
  <si>
    <t>Rataei Vicente Bourman</t>
  </si>
  <si>
    <t>zquez, Capitán de granaderos del de Cartagena. Para esta Compañía de granaderos ha nombrado S. M. á D. Rataei Vicente Bourman, Capitán de fusileros del mismo cuerpo: para la Compañía de fusileros, que este dexa, al Ayudante D. Miguel Gutiérrez: para la Ayudantía al Teniente D. Bernardo Vailariho; para lo</t>
  </si>
  <si>
    <t>Ratael Pesino</t>
  </si>
  <si>
    <t>miento de infantería de Guadalaxara; y para el Corregimiento de Cinco V illas de Aragón al Cc/ronel D. Ratael Pesino , Teniente Coronel del Real cuerpo de Artillería. El Rey se ha servido conceder á D. Ignacio López Corona, Oficial primero del ramo de Reales servidumbres en Tesorería general, lo</t>
  </si>
  <si>
    <t>Ray, Capitán</t>
  </si>
  <si>
    <t>Capitán Ray</t>
  </si>
  <si>
    <t>sentado al primer Cónsul el tercer volumen de su tratado de Mecánica celeste, quede ha dedicado. El Capitán Ray , comandante del buque americano el flope , descubrió el 22 de Diciembre de 1801 una isla de cosa de 7 leguas de largo; situada á los 25 grad. de lat. meridional, y 166 grad. 21 m</t>
  </si>
  <si>
    <t>Raygon y Díaz, Miguel</t>
  </si>
  <si>
    <t>Miguel Raygon y Díaz</t>
  </si>
  <si>
    <t>colegial del Salvador de la ciudad de Granada, vacante por muerte de D. Joseph MarinCa^ ballero, á D. Miguel Raygon y Díaz, Provisor y Vicario general del obispado de Tarazona: para la Dignidad de Arcipreste de la colegial de Talavera de la Reyna, vacante por promoción de D. Felipe de Rena y Sobral á</t>
  </si>
  <si>
    <t>Raymundo Español</t>
  </si>
  <si>
    <t>ey fixo de Manila se ha servido el Rey promover á Coronel al Teniente Coronel, graduado de Coronel, D. Raymundo Español; á Teniente Coronel al Sargento mayor, graduado de Coronel, D. Lorenzo Burgos; á Sargento n ayor al Capitán D. Francisco Bayot; á Capitanes al Teniente de grane den.: D&lt; n Manuel</t>
  </si>
  <si>
    <t>Raymundo Martín Estebe</t>
  </si>
  <si>
    <t>tonio Francisco del Peral Duque: para una Ración de la catedral de Avila, vacante -por promoción de D. Raymundo Martin Estebe á una Canongía de lra misma catedral, á D. Antonio Ximenez cíe Arguello; y para otra de la colegial de Soria, en la diócesis de Osma , vacante por promoción de Don Antonio Vicente</t>
  </si>
  <si>
    <t>Raymundo Onís</t>
  </si>
  <si>
    <t>terey á D. Juan Vázquez, Ayudante del de Composteía. En atención á lós méritos, y circunstancias de D. Raymundo Onís, se ha dignado el Rey concederle honores de Intendente de exército.. S* M. se ha servido nombrar para la Vara de Alcalde mayor , Juez de letras de la villa de Cehegin , territorio</t>
  </si>
  <si>
    <t>Raynaud, Coronel</t>
  </si>
  <si>
    <t>Coronel Raynaud</t>
  </si>
  <si>
    <t>ha tomado inmediatamente el mando en xefe de todas las fuerzas británicas en el mar del Norte. El Coronel Raynaud, encargado por nuestro gobierno, en conformidad de un tratado, de exárninar los progresos de los armamentos marítimos de Holanda, recorre los principales puertos, acompañado de un</t>
  </si>
  <si>
    <t>Rayrmundo de CaMrojá Ayudante</t>
  </si>
  <si>
    <t>pitán D. Francisco Bayot; á Capitanes al Teniente de grane den.: D&lt; n Manuel Mendoza, y al Ayudante D. Rayrmundo de CaMrojá Ayudante al Teniente D. V icente Duran ; á Teniente de granaderos al ce u'ile— ros D. Joseph Carvallo ; á Tenientes á los Subtenientes de gianacieres D. Joseph Langles y D. Ventura Bustill</t>
  </si>
  <si>
    <t>Real de Dinamarca, Príncipe</t>
  </si>
  <si>
    <t>Príncipe Real de Dinamarca</t>
  </si>
  <si>
    <t>s,y hay razón para esperar muchos indicios históricos é interesantes. llamburgo 3 de Noviembre. E 1 Príncipe Real de Dinamarca con su esposa é hija ha vuelto á Copenhague el 29 de Octubre próximo pasado. La población actual de la Silesia , comprehendiendo la parte de la Nueva Silesia, asciende á 2.022,201</t>
  </si>
  <si>
    <t>Real de Senra, Rafael</t>
  </si>
  <si>
    <t>Rafael Real de Senra</t>
  </si>
  <si>
    <t>huelo: para otra de la misma iglesia metropolitana, vacante por fallecimiento de D. Tomas Aguado, á D. Rafael Real de Senra: para otra también vacante en la referida santa iglesia de Toledo, por muerte de D. Juan Cabeza, á D. Ramón Escriche: para otra de la catedral de Orense, vacante por promoción de</t>
  </si>
  <si>
    <t>ReaL Según, Príncipe</t>
  </si>
  <si>
    <t>Príncipe ReaL Según</t>
  </si>
  <si>
    <t>de Noviembre. M anana se juntará, por primera vez* el .Consejo de Estado después de; la venida del Príncipe ReaL Según las noticias de íslandia, los habitantes de esta isla se hallan en una situación muy lastimosa. No han tenido cosecha de heno; el 11 de Agosto nevó, y el día siguiente señalaba el ter</t>
  </si>
  <si>
    <t>Rechach, Juan</t>
  </si>
  <si>
    <t>Juan Rechach</t>
  </si>
  <si>
    <t>de Ignacio y de María Pollina,q a natural de Bellpuig en Cataluña,! 6 ¿• 2 3 ♦* Juan Rechach........ ^ dependiente del Corregimiento de { i Lérida. Murió en 7 de Julio de 97 J pLIijo de Sebastian y de Mariana Circb, j natural de Cherch en Cataluña, de- 701. 2.d Agustin Batlló....... ] pendiente del Corregim.ío</t>
  </si>
  <si>
    <t>Recio, Joseph</t>
  </si>
  <si>
    <t>Joseph Recio</t>
  </si>
  <si>
    <t>es ; á Tenientes á los Subtenientes de granaderos I&gt;&gt; Manuel;Ma.i:ía'rPe.rez;, J).,Jot;gy Viilers y D. Joseph Recio; ájSubte•iíiente-s;dq.&gt;gmaa&amp;etos 4; los- BeJusilevps D. Ramón Castillo ,,.D. Rafael Gavino Zequeyra y D. Ignacio Loysel; á Subtenientes, de compañía á Los de bandera D. Pedro Mor^</t>
  </si>
  <si>
    <t>Regente</t>
  </si>
  <si>
    <t>o de la tisis, sus síntomas , sus causas, sus diferencias y curación: por Mr. Jeannet des Longroís, Doctor Regente de la facultad médica de París: traducido al castellano por D. Ramón Fernandez, profesor de cirugía. Se hallará en la librería de Castillo, frente á S. Felipe el Real. El Ayo de la juve</t>
  </si>
  <si>
    <t>de la tisis, sus síntomas , sus causas , sus diferencias y curación: por Mr. Jeannet des Longrois, Doctor Regente de la facultad médica de París: traduí i da. por D. Ramón Fernandez. Se hallará en la librería de Castillo, frente á las gradas de S. Felipe. Tratado sobre el modo de criar sanos á los</t>
  </si>
  <si>
    <t>Regente de Portugal, Príncipe</t>
  </si>
  <si>
    <t>Príncipe Regente de Portugal</t>
  </si>
  <si>
    <t>ebrero. E 1 General Lannes, Enviado extraordinario y Ministro Plenipotenciario cerca de S. A. R. el Príncipe Regente de Portugal, ha sido presentado al primer Cónsul por el Ministro de Relaciones exteriores , para despedirse y volver á su destino. La Sociedad del fomento de las artes y la industria va á exe</t>
  </si>
  <si>
    <t>Regente, Príncipe</t>
  </si>
  <si>
    <t>Príncipe Regente</t>
  </si>
  <si>
    <t>avegantes. s -y Lisboa 2$ Le Enero. v..jon fecha de 15 de Noviembre ultimo ha expedido S.. A. R. el Príncipe Regente un alvará estableciendo en cada uno de los puertos de Rio Janerro, Haitír y Para, un patrón mayor con el sueldo de 6oo0 reís al año, sin ningún otro emolumento; determinando que e</t>
  </si>
  <si>
    <t>xposición del santísimo Sacramento por la noticia que habia acabado de llegar de haberse dignado el Príncipe Regente de examinar, alabar, y mandar comprar para vestirse la Real familia, los texidos fabricados en la misma ciudad que habia presentado á S. A. R. el Desembargadnr JoT seph Antonio de Sá;</t>
  </si>
  <si>
    <t>os9 se hizo la abertura en la ciudad de Porto, de la Academia Real de ma-. riña y comercio , que el Príncipe Regente mandó establecer allí; cuya ce-' remonia se verificó con asistencia de un concurso numeroso, y grande satisfacción de las personas que conocían la falta de estudios en aquella ciu</t>
  </si>
  <si>
    <t>Reggio, Pedro</t>
  </si>
  <si>
    <t>Pedro Reggio</t>
  </si>
  <si>
    <t>os Cadetes D. Francisco M'óréjori , D. Francisco Duvreüiil, Don Juan Domínguez, D. Félix Forstáll , D. Pedro Reggio y1 D. Cátlos Rcggio, y los Sargentos primeros D. Matías Cervera, de granaderos, P Francisco Cañedo y D. Joseph Bernardo , y á Subtenientes de bandera á los Cadetes D. Bernardo Priet</t>
  </si>
  <si>
    <t>Reibeid, Coronel</t>
  </si>
  <si>
    <t>Coronel Reibeid</t>
  </si>
  <si>
    <t>rines ai mes. Se propone extender esta paga á las tropas de las demas guarniciones. Ha encargado al Coronel Reibeid la administración civil de todas las tropas bávaras. Escriben de la Suiza que se disponen muchas familias á marchar á Rusia. El Coronel ruso Escher ha publicado las instrucciones que</t>
  </si>
  <si>
    <t>Reinier, Almirante</t>
  </si>
  <si>
    <t>Almirante Reinier</t>
  </si>
  <si>
    <t>ero de 1802 el baxel de S. M. el Arrogante., acompañado de los navios el Dover-Castle, el Asia y el Almirante Reinier, descubrieron á la distancia como de una media milla una cadena de peñascos situada al N.N.E. Inmediatamente envió una lancha á reconocerla, que volvió á las 6 horas y media, y se</t>
  </si>
  <si>
    <t>Rejón de Silva, Diego</t>
  </si>
  <si>
    <t>Diego Rejón de Silva</t>
  </si>
  <si>
    <t>Dionisio López Pinto, D. Mariano Carrillo de Albornoz, D. Francisco Justis ,D. Bernardo Landaburu, D. Diego Rejón de Silva y D. LuisLandaburu : al Cadete de Reales Guardias de infantería Wafona D. Mariano Genaro Sentmanat, á los del regimiento de infantería de Buenos-Ay-, res D. Antonio y D. Pedro Romero</t>
  </si>
  <si>
    <t>Remando García de la Erada</t>
  </si>
  <si>
    <t>ta que llegaron SS. MM. á la.capilla, &amp; cuya entrada sirvió el agua bendita: el Sumiller dé Cortina D. Remando García de la Erada, y al acercarse SS. MM. al dosel, que estaba preparado al lado derecho, levantó el tafetán con que estaban cubiertos los sitiales D. Juan Diego Duro y Solano, Sumiller también dé‘</t>
  </si>
  <si>
    <t>Renden, Nicolás María</t>
  </si>
  <si>
    <t>Nicolás María Renden</t>
  </si>
  <si>
    <t>icer y D. Antonio Agudo: á D. Ignacio Montilla, Capitán del regimiento provincial de Bujalance; y á D. Nicolás María Renden , Capitán del de Ronda. En el Real cuerpo de Artillería se ha servido el Rey promover á Capitán segundo al Teniente D. Antonio Mendinueta; y á Tenientes á los Subtenientes D. Migu</t>
  </si>
  <si>
    <t>Rengifo, Félix</t>
  </si>
  <si>
    <t>Félix Rengifo</t>
  </si>
  <si>
    <t>vido promover á Ayudante en el regimiento de húsares de Olivencia al Capitán D. Félix Rengifo , Teniente dei propio cuerpo. J $. M. se ha servido nombrar para uña plaza de Ministro de la Real Audiencia de Mallorca á D. Joseph de Elola y López. En atención al mérito, circunstancias y</t>
  </si>
  <si>
    <t>Requena, Francisco María</t>
  </si>
  <si>
    <t>Francisco María Requena</t>
  </si>
  <si>
    <t>quín Abad y D, Joseph Pedrosa, este de granaderos: en el de Mallorca á Tenientes á los Subtenientes D. Francisco María Requena y D. Gines Joseph Zamora, este de granaderos: en el de Aragón á Teniente al Subteniente de granaderos D. Joseph Montero de Espinosa : en el primer batallón de Voluntarios de Aragón á</t>
  </si>
  <si>
    <t>Resales, Manuel</t>
  </si>
  <si>
    <t>Manuel Resales</t>
  </si>
  <si>
    <t>as: para la Prestamerá de Pareja y la de Buendia, vacantes en la diócesis de Cuenca por íenuncia de D. Manuel Resales, á, D. Isidro Bernal . Capellán dp. altar del Real monasterio de la Enea.nación: para el Beneficio préstamo de la parroquia de la villa de Medellin, en la diócesis de Plasenc.ia,</t>
  </si>
  <si>
    <t>Retnon del Valle, Antonio</t>
  </si>
  <si>
    <t>Antonio Retnon del Valle</t>
  </si>
  <si>
    <t>del Real cuerpo de Ingenieros { D. Blas Manuel Teruel, D. Joseph Armendariz y D. Joseph María Dana, D. Antonio Retnon del Valle y D. Joseph Cortines, que lo eran de los regimientos de infantería de Granada, Mallorca, Príncipe y Voluntarios de°Castilla; á D. Rafael del Barrio, D. Ignacio Ordovas y D. Joaquin Bi</t>
  </si>
  <si>
    <t>Reynes, Antonio</t>
  </si>
  <si>
    <t>Antonio Reynes</t>
  </si>
  <si>
    <t>va dar aviso en Cádiz al citado D. Gaspar, de Amenabar, en Barcelona á los referidos Sres. viuda de D. Antonio Reynes é hijos, y en Madrid á D. Juan Bautista de Iribarren.. ' . e . : Don Roque. Campn, de Madrid , remitió por el correo de 8 de Febrero de este año, endosados con esta fecha a D. Jos</t>
  </si>
  <si>
    <t>Rheinhard</t>
  </si>
  <si>
    <t>tablecido aquí de un tiempo á esta parte el steriotipage, baxo la dirección del ciud. Rheinhard, á quien ha concedido el gobierno privilegio exclusivo de invención por término de 15 años. Este establecimiento , que hará sin .duda muchos progresos, está de</t>
  </si>
  <si>
    <t>Ribadulla, Ramón</t>
  </si>
  <si>
    <t>Ramón Ribadulla</t>
  </si>
  <si>
    <t>anaderos en los de Avila, Santiago, Ecija y Jaén yá los de fusileros D. Joseph Aquilino Barbachano, D. Ramón Ribadulla, D. Manuel Vázquez y D. Antonio Barrionuevo; y ha nombrado Subtenientes de bandera dé los dé Sigüenza y Bujalance á D. Fernando Barbaza y D. Joseph Ximenez. En América. S. M. se h</t>
  </si>
  <si>
    <t>Ribas, Carlos</t>
  </si>
  <si>
    <t>Carlos Ribas</t>
  </si>
  <si>
    <t>e al Capitán segundo D. Francisco Vila, y á Capitán segundo al Teniente de Voluntarios de Barcelona D. Cárlos Ribas. Asimismo se ha servido. S. M. promover en el regimiento de infantería de Córdoba á Teniente al Subteniente de granaderos D. Marcos Rodríguez: en el de Aragón á Subteniente de ban</t>
  </si>
  <si>
    <t>Ribaud, General</t>
  </si>
  <si>
    <t>General Ribaud</t>
  </si>
  <si>
    <t>Cuxhaven, con el objeto de interceptar el paso á los buques ingleses que se hallen en el Elba; y el General Ribaud está encargado de la misma operación en el curso y desembocadura del Weser._El parque de artillería de campaña del exército de Hannóver, que está en Zell, se ha entregado al General</t>
  </si>
  <si>
    <t>Riera y Don, Gerónimo</t>
  </si>
  <si>
    <t>Gerónimo Riera y Don</t>
  </si>
  <si>
    <t>ubtenencias.de bandera al Sargento primero de granaderos D. Juan Vital deBernoqui, y a jos Cadetes, D. Gerónimo Riera y Don •Isaac Eañdaburu, este del Real cuerpo, de Guardias de infantería Española. En el Real cuerpo de: Artillería se ha dignado el Rey promover á Subinspector Comandante del departamen</t>
  </si>
  <si>
    <t>Riera, Bartolomé</t>
  </si>
  <si>
    <t>Bartolomé Riera</t>
  </si>
  <si>
    <t>nombrar para una Canongía de la catedral de Ibiza, vacante por fallecimiento de D. Domingo Juan, á D. Bartolomé Riera : para un Beneficio de la parroquia de Alcober, en la diócesis de* Tarragona, vacante por promoción de D. Guillermo Rocabruna á una Ración de aquella santa iglesia, á D. Rafael Ro</t>
  </si>
  <si>
    <t>Riera, Francisco</t>
  </si>
  <si>
    <t>Francisco Riera</t>
  </si>
  <si>
    <t>lesiástico residencial, fundado en la catedral de Mallorca j unido con otro de la misma catedral, á D. Francisco Riera. , El Rey se ha servido conferir .en el regimiento dé infantería de Zamora Compañía al Teniente de granaderos, graduado de Capitán, Don Juan Antonio Pelaez : en el de Granada Subt</t>
  </si>
  <si>
    <t>Riesqh, Rafael</t>
  </si>
  <si>
    <t>Rafael Riesqh</t>
  </si>
  <si>
    <t>óbal Pomar y D. Joaquín Gómez, y k Tenientes á los Subtenientes D. Martin Zarandia, D. Ramón Gómez, Don Rafael Riesqh, D. Francisco Calderón y D. Luis Solana. . , Por la Superintendencia general de la Real Hacienda se ha -comunicado, fla dtfden siguiente: . El Señor Gobernador del Consejo me dice</t>
  </si>
  <si>
    <t>Rígual, Joseph</t>
  </si>
  <si>
    <t>Joseph Rígual</t>
  </si>
  <si>
    <t>angelios-^ explicación; de las ceremonias y disciplina' eclesiástica de la semana santa , por ¿I Dr.D. Joseph Rígual, presbítexo.ySe¡ hallará en la librería de Álverá, carrera,4e S. (Jerónimo.. . , ( , Adiciones á la primera y segunda parte del Febrero reformado que publica su autor el Lie. D. J</t>
  </si>
  <si>
    <t>Rindens-Chevender</t>
  </si>
  <si>
    <t>ndría á ser la silla de la regencia electoral. ^ El semanario de Rastadt da la siguiente noticia de Mr. Rindens-Chevender , muerto hace poco, siendo Consejero íntimo del Elector de Ba</t>
  </si>
  <si>
    <t>Riquelme, Francisco</t>
  </si>
  <si>
    <t>Francisco Riquelme</t>
  </si>
  <si>
    <t>de la esquadra de Asia D. Ignacio de Alava á la fragata Santa Lucía, del cargo del Capitán de Navio D. Francisco Riquelme al reconocimiento del baxo nombrado Masinloc ó Scarborough, que dista 44 leguas próximamente de la punta Capones, isla de Luzon; y habiéndolo examinado dicho Oficial, y hecho á su</t>
  </si>
  <si>
    <t>Ritas y Pinazo, Diego</t>
  </si>
  <si>
    <t>Diego Ritas y Pinazo</t>
  </si>
  <si>
    <t>de su imponderable beneficio en favor de la humanidad. Viltena 2 de Julio. D on Diego Ritas y Pinazo, Médico titular de esta ciudad en el reyno de Murcia, movido del bien á la humanidad se propuso introducir la vacuna en ella, y después de varias solicitudes pudo lograr el virus vacuno e</t>
  </si>
  <si>
    <t>Rivadeneyra, Tomás</t>
  </si>
  <si>
    <t>Tomás Rivadeneyra</t>
  </si>
  <si>
    <t>Teniente de granaderos del mismo cuerpo D. Manuel Piferrer, y al Ayudante del provincial de Guadix D. Tomas Rivadeneyra, ambos graduados de Capitán; y Subtenencias de bandera á los Cadetes D. Diego Castrillon y D. Romualdo T.ovar: en el de Valencia el empleo de Ayudante ai Teniente de granaderos, g</t>
  </si>
  <si>
    <t>Roberts</t>
  </si>
  <si>
    <t>emio de polleros de esta capital dio hace algunos dias un convite espléndido, en el qual propuso el Dr. Roberts, Cura de S. Pedro en Cornhill, este brindis: ¡A que el gallo francés no cante jamas entre las gallinas inglesas! Agrado mucho este brindis á los convidados, y bebieron todos con e</t>
  </si>
  <si>
    <t>Robertson</t>
  </si>
  <si>
    <t>y con salva de su artillería. E11 la última junta de la sociedad galvánica, el ciudadano Robertson lia repetido los experimentos sobre la combustión del fósforo y de los metales, por medio de una pila formada con planchas de cobre y zinc</t>
  </si>
  <si>
    <t>: desdichado del que me vea. IB. 1 temor es cierto, pero el hecho es falso. El viage aerostático de Mr. Robertson hecho en Hamburgo presenta varias observaciones de in^portancia para las ciencias; y á la verdad el globo aerostátiebr pudiera ser un medio de 'aclarar muchos puntos del mayor ínt</t>
  </si>
  <si>
    <t>antes parecen largas pirámides. A Mr. Robertson le pareció que baxaban hácia la tierra con rapidez; pero esto era un fenómeno óptico , procedente de la inmobilidad aparente del globo, que en realidad andaba 6o pies por segundo.</t>
  </si>
  <si>
    <t>terra han aumentado el precio de víveres y granos. TT Hamburgo de Noviembre. xiace algunos dias que Mr. Robertson ha hecho aquí un viage aerostático, que puede ser útil á la física por las observaciones que ha hecho. Llenó las dos terceras partes de un globo de tafetán de 30 pies de diámetro,</t>
  </si>
  <si>
    <t>evaban se murió, y el otro no pudo volar; apénas se oian los dos viageros aunque hablaban á gritos. Mr. Robertson se propone continuar sus experimentos en otro viage. Viena 8 de Noviembre., S e dice aquí que el Consejo de Guerra prepara un proyecto sobre la venalidad de los empleos militares;</t>
  </si>
  <si>
    <t>Robertsony</t>
  </si>
  <si>
    <t>inúas de sus ha* hitantes. v ^ JTamburgo 17 de Agosto. E n el último viage aerostático que ha hecho Mr. Robertsony.dice este aeronauta , ha reconocido ,,que los cálculos barométricos no señalap con exactitud las verdaderas elevaciones en.la atmósfera. Ha pesado varios cuerpos en una balanza de</t>
  </si>
  <si>
    <t>Robimon</t>
  </si>
  <si>
    <t>A principios del mes pasado se presentó en.casa de D. Francisco Antonio Zea el ciud. Robimon, hábil literato, y profesor de lenguas inglesa y española en París, acompañado de un hcmbre que dixo manejaba el fuego sin experimentar algún daño, y que como</t>
  </si>
  <si>
    <t>Robledo, Francisco</t>
  </si>
  <si>
    <t>Francisco Robledo</t>
  </si>
  <si>
    <t>ignado nombrar para una plaza de Oidor de la Real Audiencia* de Goatcmala, vacante por promoción de D. Francisco Robledo á la de Fiscal del crimen de la de México, á D. Onesimo Duran, Teniente Letrado Asesor del Gobierno é Intendencia de Mechoacan ; y para otra plaza de Oidor de la Real Audiencia de</t>
  </si>
  <si>
    <t>Roca y Seyxas, Antonio</t>
  </si>
  <si>
    <t>Antonio Roca y Seyxas</t>
  </si>
  <si>
    <t>ue goza en la misma catedral: para la Canongía de la catedral de Astorga , vacante por promoción de D. Antonio Roca y Seyxas al Priorato de Coba, Dignidad de la catedral de Lugo , á D. Miguel Franco Quintana:</t>
  </si>
  <si>
    <t>Roca, Manuel</t>
  </si>
  <si>
    <t>Manuel Roca</t>
  </si>
  <si>
    <t>0 Vicente Percebal; á Alférez al Exento Marques de Lazan; í Exento* de número á los supernumerarios D. Manuel Roca y D. Narciso Belloc; á supernumerario á D. Francisco Pío Manrique de Lara; á Brigadier al Sub-Brígadier D. Joseph Lasala; á Sub-Brigadier al Cadete D. Pedro Torres; á Cadetes de númer</t>
  </si>
  <si>
    <t>Roca, Rafael</t>
  </si>
  <si>
    <t>Rafael Roca</t>
  </si>
  <si>
    <t>Tarragona, vacante por promoción de D. Guillermo Rocabruna á una Ración de aquella santa iglesia, á D. Rafael Roca: para otro de la expresada parroquia de Alcober, vacante por promoción de D. Juan Mas á un Beneficio de la villa de Valls, en la misma diócesis, á I). Salvador Puigdevall: para ot</t>
  </si>
  <si>
    <t>Rocas, Agustín</t>
  </si>
  <si>
    <t>Agustín Rocas</t>
  </si>
  <si>
    <t>jo de Martin y de Mariana, natural^ J de Lüufriu en Cataluña, dependien-1 3.a.. Agustín Rocas.... h te del Corregimiento de Gerona, f 873. 4 I. Murió el 15 de Febrero de 98 l~Hijo de Josef y de Mariana Campayo j natural de Puigcerdá en Cataluña, í 3.a.. Josef Segada. ) dependiente del Corregimiento de f 6?. 12 l</t>
  </si>
  <si>
    <t>Rochambeau, General</t>
  </si>
  <si>
    <t>General Rochambeau</t>
  </si>
  <si>
    <t>Noviembre, siendo cada vez mas urgentes las circunstancias, resolvieron los Generales no esperar al General Rochambeau, y se d^ó el ataque general. El enemigo fué rechazado y perseguido por todas partes, dexando libre la llanura, y refugiándose en los morros. Esperamos con impaciencia los 3$ hombr</t>
  </si>
  <si>
    <t>as por tas montañas. El Gobernador español, Virey de Santa Fe de Bogotá, regaló estos dos llamas al General Rochambeau. París iS de Junio. 1 E 1 Teniente General Morder, Comandante en xefe del exército de Han-¿ nóver, lia dado cuenta al Ministro de Guerra de haber entrado el 5 del corriente en aqu</t>
  </si>
  <si>
    <t>quel puerto hubieran vendido sus cargamentos con una utilidad considerable , á no haber sido que el General Rochambeau se apoderó de todos ellos, pagando una tercera parte de su importe en frutos , y el resto en una nueva especie de papel moneda. Parece que dicho General se hallaba resuelto á perm</t>
  </si>
  <si>
    <t>Rocheambeau, General</t>
  </si>
  <si>
    <t>General Rocheambeau</t>
  </si>
  <si>
    <t>llegado al puerto de Loríente una fragata procedente del Senegalen 72 dias---- El navio nombrado el General Rocheambeau, que salió de este puerto, ha llegado al cabo de Buena-Esperanza en 62 dias de navegación. Ha perecido á la entrada de este rio el navio de un Capitán americano, del que solo se l</t>
  </si>
  <si>
    <t>acción que he tenido, y del particular aprecio que hago.de vuestra persona. Firmado: Bonaparte.” El General Rocheambeau.ha sido nombrado General en xefe del exército de Sto. Domingo, y Capitán General de aquella colonia. Ha concedido el gobierno un privilegio por 15 años á unas máquinas muy importa</t>
  </si>
  <si>
    <t>Rochon</t>
  </si>
  <si>
    <t>para los vencedores. Ll cargamento es uno ele Los mas ricos que desde la paz han salido de Bengala. Mr. Rochon ha inventado un método ingenioso para medir distancias. Cpnsiste en adaptar á un anteojo un prisma de cristal de Islandia que duplica las imágenes. El observador las pone en conta</t>
  </si>
  <si>
    <t>Rodrigo de la Rocha</t>
  </si>
  <si>
    <t>el D. Ildefonso Larraori, Capitán primero del mismo cuerpo; á Capitán de granaderos al de fusileros D. Rodrigo de la Rocha; á Capitanes primeros á los segundos I). Manuel Aguiíar y D. Marcelo Porrata , Ayudantes, y D. Pedro Caliani; Ayudantes á los Capitanes segundos D. Joseph de la Concha y D. Cayeta</t>
  </si>
  <si>
    <t>Rodrigo García Puerta</t>
  </si>
  <si>
    <t>los Veintiquatros, el Marques de Casa-Villa Real, individuo de la Real Maestranza de esta ciudad, y D. Rodrigo García Puerta, caballero de la orden de. Cárlos m. Todo mereció los aplausos -de las personas mas instruidas del clero, colegios y nobleza que concurrieron á hacer mas plausible esta función li</t>
  </si>
  <si>
    <t>Rodrigo González</t>
  </si>
  <si>
    <t>los Subtenientes D. Luis Ibañez de Navarra, D. Francisco García Orozco, Don Juan de Dios Carcelen, D. Rodrigo González, D. Joseph de Aulestia, D. Juan Gómez, D. Rafael Sopranis y D. Diego Bobadilla: á Subtenientes de granaderos en los de Sigiienza, Alcázar y Laredo, á los de fusileros D. Fernando</t>
  </si>
  <si>
    <t>Rodrigo Riquelme Ponce de León</t>
  </si>
  <si>
    <t>ecto esta mi soberana resolución, nombro para el expresado empleo al Oidor de la referida Audiencia D. Rodrigo Riquelme Ponce de León, para el qual me consultará la Cámara en las vacantes que ocurrieren un Oidor de la propia Audiencia.” S. M. se ha servido nombrar para el Arcedianato titular Dignidad de la cated</t>
  </si>
  <si>
    <t>Rodrigo, Manuel</t>
  </si>
  <si>
    <t>Manuel Rodrigo</t>
  </si>
  <si>
    <t>e fusileros D. Joseph Vergaña, D. Mauricio Fornell y D. Joseph Vila; y á Subtenientes á los Cadetes D. Manuel Rodrigo, D. Francisco Joseph Celada, D. Martia Galáyn, D. Mariano Gri-I mau y D. Francisco de Paula Somalo,y á ios Sargentos primeros0.Manuel Sánchez, D. Antonio López y D. Juan Xará. Asi</t>
  </si>
  <si>
    <t>Rodríguez Abellan, Manuel</t>
  </si>
  <si>
    <t>Manuel Rodríguez Abellan</t>
  </si>
  <si>
    <t>se ha servido~conferir én el regimiento de infantería de Sevilla •Subtenencia de bandera al Cadete D. Manuel Rodríguez Abellan: en el de Toledo Compañía al caballero Page de S. M. D. Clemente Coupi^nl: en el de Hibernia Subtenencia de bandera al Sargento primero D. Angel -Cafareli; y en el de la Princesa</t>
  </si>
  <si>
    <t>Rodríguez Biedma, Sebastián</t>
  </si>
  <si>
    <t>Sebastián Rodríguez Biedma</t>
  </si>
  <si>
    <t>y habiéndole admitido S. M.da renuncia que ha hecho de ella, ha nombrado para la citada Dignidad á D. Sebastian Rodríguez Biedma, Capellán de Honor £1 Rey se ha servido nombrar para la Dignidad de Tesorero de la catedral de Barcelona, vacante por fallecimiento de D. Agustín Almarza, á D. Manuel Tordana, Cap</t>
  </si>
  <si>
    <t>consagró en el Real convento de Sras. Comendadoras de Santiago el mayor de esta corte el limo. Sr. Don Sebastian Rodríguez Biedma, Obispo de Sebastopol! in partibus infideliumy y Prior perpetuo del Real eonvento de Santiago de Uclés; habiendo sido el consagrante el limo. Sr. D. Francisco Cuerda, Obispo que f</t>
  </si>
  <si>
    <t>Rodríguez Blanco, Francisco</t>
  </si>
  <si>
    <t>Francisco Rodríguez Blanco</t>
  </si>
  <si>
    <t>ey se ha servido nombrar para el Deanato primera silla de la catedral de Tuy, vacante por muerte de D. Francisco Rodríguez Blanco, á D. Joseph Antonio Ruiz Manjon, Dignidad de Maestrescuela y Canónigo de la misma catedral: para el Arcedianato de Villena, Dignidad de la catedral de Cartagena, vacante por fall</t>
  </si>
  <si>
    <t>a servido nombrar para el Deanato primera silla de la catedral de Tuy, vacante por fallecimiento de D. Francisco Rodríguez Blanco, y por haber muerto D. Joseph Ruiz Manjon, á quien S. M. habia nombrado para él, antes de sacar la Real presentación, ¿ D. Francisco Ventura de Castro y Villegas, Canónigo mas ant</t>
  </si>
  <si>
    <t>Rodríguez Campománes, Pedro</t>
  </si>
  <si>
    <t>Pedro Rodríguez Campománes</t>
  </si>
  <si>
    <t>sobre el estudio de la historia natural. En la necrología se da noticia de la muerte del Excmo. Sr. D. Pedro Rodríguez Campománes y de su vida literaria. Comedias representadas en París. Y últimamente, en el artículo legislación, la Real cédula de 6 de Noviembre del año pasado de 1802 sobre el modo de repetir con</t>
  </si>
  <si>
    <t>Rodríguez Cela, Pedro</t>
  </si>
  <si>
    <t>Pedro Rodríguez Cela</t>
  </si>
  <si>
    <t>a; y para la de Alcalde del Crimen, que se halla vacante en la referida Audiencia de Extremadura, á D. Pedro Rodríguez Cela. También ha nombrado S. M. para la plaza de Oidor de la Chancillería de Valladolid , que resulta vacante por la traslación de dicho Don Francisco Ibañez de Leyva á otra de igual c</t>
  </si>
  <si>
    <t>Rodríguez Conchero, Pedro</t>
  </si>
  <si>
    <t>Pedro Rodríguez Conchero</t>
  </si>
  <si>
    <t>Vicario general de Polonia , Prusia y Lithuania, y Secretario de S. M.: traducido al castellano por D. Pedro Rodríguez Conchero, presbítero: obra útilísima á toda clase de personas, y principalmente al que quiera emprender el mas seguro y suave camino de la perfección, y llegar al fin para que fué criado:</t>
  </si>
  <si>
    <t>Rodríguez de Arellano, Vicente</t>
  </si>
  <si>
    <t>Vicente Rodríguez de Arellano</t>
  </si>
  <si>
    <t>y en Valencia en la de Mallen y compañía. Las tardes de la granja: traducción libre del francés por D. Vicente Rodríguez de Arellano: tomo 2.0 con 4 láminas finas, y al pie de cada una un epigrama moral alusivo a* asunto que representa. En esta obra (cuyo objeto es la mejor educación de los jovenes) se supone u</t>
  </si>
  <si>
    <t>sa ahora toda recomendación de su mérito. Las tardes de la granja: traducción libre del francés por D. Vicente Rodríguez de Arellano; tomo 3.0 con 4 láminas, y al pie de cada una un epigrama moral alusivo al asunto que representa. En esta obra (cuyo objeto es la mejor educación de los jóvenes) se supone un padr</t>
  </si>
  <si>
    <t>Rodríguez de Avellano, Vicente</t>
  </si>
  <si>
    <t>Vicente Rodríguez de Avellano</t>
  </si>
  <si>
    <t>a de Gómez Fuentenebro á 6 rs. en rústica. Láé tardes de la granja: traducción Ubre del francés por D. Vicente Rodriguez de Avellano:.tomo i.° Se hallará en la librería de Gómez Fuentenebro, calle de las Carretas^ sp precio 10 rs. en rústica. Esta obra, que se compondrá de 8 tomos en 8.°, tiene por objeto la me</t>
  </si>
  <si>
    <t>Rodríguez de Cárdenas, Antonio</t>
  </si>
  <si>
    <t>Antonio Rodríguez de Cárdenas</t>
  </si>
  <si>
    <t>e por promoción de D. Francisco Aivarez de Mendieta á otra de Alcalde del crimen de la de México, á D. Antonio Rodríguez de Cárdenas. Con fecha de 22 de Febrero se ha comunicado por el Ministerio de la Guerra al de Hacienda la Real orden siguiente. „ Teniendo el Rey en consideración el mayor gasto que ocasiona</t>
  </si>
  <si>
    <t>Rodríguez Gavilán, Joseph</t>
  </si>
  <si>
    <t>Joseph Rodríguez Gavilán</t>
  </si>
  <si>
    <t>hepanse» Tora 18 de Abril. E n Marzo del año pasado comenzáron á propagar la vacuna en esta entidad D. Joseph Rodríguez Gavilán, D. Angel Muñoz y D. Joseph Barrera , sin que la circunstancia de ser facultativos, y de haber hecho Barrera la primera prueba en sus hijos, bastase á acreditarla. Sobrevino luego</t>
  </si>
  <si>
    <t>Rodríguez Granados, Juan Joseph</t>
  </si>
  <si>
    <t>Juan Joseph Rodríguez Granados</t>
  </si>
  <si>
    <t>la colegial de Uxijar, en el arzobispado Granada, vacante por muerte de D. Miguel Suarez Donayre, á D. Juan Joseph Rodríguez Granados : para otra Canongía de la colegial de Cerbatos, diócesis de Burgos, vacante por fallecimiento de D. Francisco Antonio de. Caaipuzano, á D. Juan Gómez de Robles: para una Ración d</t>
  </si>
  <si>
    <t>Rodríguez Pérez, Manuel</t>
  </si>
  <si>
    <t>Manuel Rodríguez Pérez</t>
  </si>
  <si>
    <t>quín Ortiz de Zárate y D. Francisco Exarch; á los Cadetes de Reales Guardias de infantería Española D. Manuel Rodríguez Perez, Don Fráncisco Gregorio, D. Tomas Aguirre, D. Juan Ponsich, D. Felipe del Arco Agüero, D. Joseph Sánchez Tagle, D. Francisco Xaramillo, Don Dionisio López Pinto, D. Mariano Carril</t>
  </si>
  <si>
    <t>Rodríguez, Andrés</t>
  </si>
  <si>
    <t>Andrés Rodríguez</t>
  </si>
  <si>
    <t>lesias Barrantes, D. Manuel Morete, D. Roque Cilleruelo y D. Sebastian de S. Juan; y Subtenientes á D. Andrés Rodríguez, D. Manuel Zapatero, que lo éran del regimiento de infantería de España y del provincial de Alcázar de S. Juan, como á D. Francisco Figueras, Cadete del de Navarra. En América. El</t>
  </si>
  <si>
    <t>amo de la parroquia de la villa de Camarena, en la diócesis de Toledo, vacante por fallecimiento de D. Andrés Rodríguez , á D. Julián Monaste</t>
  </si>
  <si>
    <t>Rodríguez, Antonio</t>
  </si>
  <si>
    <t>Antonio Rodríguez</t>
  </si>
  <si>
    <t>bandera í los Cadetes D. Manuel de la Cruz y D. Andrés Arango, y al Sargento primero de granaderos D. Antonio Rodríguez: en el de Cantabria Compañía al Teniente de granaderos con grado de Capitán D. Columbano Cabrera; y en el de Saboya Tenencias á los Subtenientes de granaderos D. Joseph de Moya y</t>
  </si>
  <si>
    <t>Rodríguez, Bartolomé</t>
  </si>
  <si>
    <t>Bartolomé Rodríguez</t>
  </si>
  <si>
    <t>En el regimiento de Pavía, quarto de Cazadores, se ha servido el Reypromover á Alférez al Sargento D. Bartolomé Rodríguez: en el de Sagunto, sexto de Cazadores, á Ayudante al Teniente D. Ramón Ortigosa; yá Teniente al Alférez D. Pedro Lechuga; y en el de Lugtania, segundo de Húsares, á Coronel á D. R</t>
  </si>
  <si>
    <t>Rodríguez, Carlos Joseph</t>
  </si>
  <si>
    <t>Carlos Joseph Rodríguez</t>
  </si>
  <si>
    <t>zabal: para, la Maestrescolía al Tesorero D. Joseph Fernando Baeza: para esta Tesorería al Canónigo D. Carlos Joseph Rodríguez y para la Canongía al Racionero D. Joseph NarcisoDongo. Asimismo se ha dignado nombrar para la Dignidad de Dean de la metropolitana de Lima, vacante por muerte del Dr. D„ Joaquín de</t>
  </si>
  <si>
    <t>Rodríguez, Francisco</t>
  </si>
  <si>
    <t>Francisco Rodríguez</t>
  </si>
  <si>
    <t>isco Lozada, y á Portaguiones á los Cadetes D. Domingo Savariego, y D. loaquin Náxera y al Sargento D. Francisco Rodríguez.</t>
  </si>
  <si>
    <t>Rodríguez, Francisco Xavier</t>
  </si>
  <si>
    <t>Francisco Xavier Rodríguez</t>
  </si>
  <si>
    <t>la Magistral de ella, al Medió-Racionero Di Eusebio Ramírez de Arellano; y para esta Media-Ración á D. Francisco Xavier Rodríguez, Vice-Rector y Subdirector del colegio Seminario de dicha ciudad. Los tenedores de Vales-dinero de la Real Caxa de Consolidación, de la creación de i.° de Setiembre de 1802, acudi</t>
  </si>
  <si>
    <t>Rodríguez, Joseph</t>
  </si>
  <si>
    <t>Joseph Rodríguez</t>
  </si>
  <si>
    <t>Subtenientes de bandera al Cadete D. Joseph Joaquin Magaña, y al Teniente del de Milicias de Xerez D. Joseph Rodríguez: en el de infantería de Mallorca á Ayudante al Teniente, graduado de Capitán, Don Antonio Isla ;-y en el de Burgos á Subteniente de bandera al Cadete I&gt;. Sebastian Melero.</t>
  </si>
  <si>
    <t>al Teniente graduado de Capitán D. Isidoro Diaz de Galazo: en el de Navarra Tenencia al Subteniente D. Joseph Rodríguez: en el de Ultonia Tenencia al Subteniente de granaderos D. Francisco Bourman: en el de Málaga Compañía al Teniente de granaderos, con grado de Capitán, D. Laureano Miraveté: en el</t>
  </si>
  <si>
    <t>Rodríguez, Joseph María</t>
  </si>
  <si>
    <t>Joseph María Rodríguez</t>
  </si>
  <si>
    <t>leticia , y á D. Joseph María Rodríguez , Sargento primero del último cuerpo. En América. En el regimiento de Milicias disciplinadas de infantería de Puerto-Rico se ha servido el Rey promover á Capitanes á los Tenientes</t>
  </si>
  <si>
    <t>Rodríguez, Joseph Santiago</t>
  </si>
  <si>
    <t>Joseph Santiago Rodríguez</t>
  </si>
  <si>
    <t>nte por ascenso de D. Joseph Antonio Errazurriz á la Dignidad de Tesorero de la propia catedral , á D. Joseph Santiago Rodríguez, Racionero mas antiguo de la misma. En el batallón veterano de infantería de Caracas se ha servido el Rey promover á Teniente de granaderos al de fusileros D. Francisco Pineda; á</t>
  </si>
  <si>
    <t>Rodríguez, Juan</t>
  </si>
  <si>
    <t>Juan Rodríguez</t>
  </si>
  <si>
    <t>mpleo de Cadete de numero al supernumerario D. Francisco Arteaga, y el de Supernumerario ai Guardia D. Juan Rodríguez. En el regimiento de Reales Guardias Españolas se ha servido promover el Rey á Comandante de batallón al Teniente General D. Manuel de Lapeña, Capitán del mismo cuerpo. También se</t>
  </si>
  <si>
    <t>lido 8 jóvenes para íilosofía en este curso: 66 niños de la de primeras letras, á cargo del maestro D. Juan Rodríguez, los 41 para gramática, 16 para oficios, y q para la agricultura; y de la del cargo del maestro D. Cosme Bascon 17, los 13 para gramática, y para oficios 4: después se adjudicáron</t>
  </si>
  <si>
    <t>Rodríguez, Juan Joseph</t>
  </si>
  <si>
    <t>Juan Joseph Rodríguez</t>
  </si>
  <si>
    <t>nte D. Esteban Ponte; al de Teniente al Alférez D. Joseph Perez; al de Alféreces al Portaestandarte D. Juan Joseph Rodríguez y al Cadete D. Narciso Blanco, y al de Portaestandarte al Cadete D. Joseph María Uztariz. También se ha servido S. M. conferir la Sargentía mayor del regimiento de Milicias discipli</t>
  </si>
  <si>
    <t>Rodríguez, Manuel</t>
  </si>
  <si>
    <t>Manuel Rodríguez</t>
  </si>
  <si>
    <t>ez y D. Agustín Román, los dos primeros de granaderos; á Tenientes de granaderos á los de fusileros D. Manuel Rodríguez y D. Joseph Ramírez; á Tenientes á los Subtenientes de granaderos D. Patricio Gandía,D. Pedro de Silva y D. Casimiro Esteves , y al de fusileros D. Joaquín de los Reyes; á Subteniente</t>
  </si>
  <si>
    <t>Rodríguez, Marcos</t>
  </si>
  <si>
    <t>Marcos Rodríguez</t>
  </si>
  <si>
    <t>o. S. M. promover en el regimiento de infantería de Córdoba á Teniente al Subteniente de granaderos D. Marcos Rodríguez: en el de Aragón á Subteniente de bandera al Cadete D. Juan de Uriarte; y en el batallón de Voluntarios de Valencia á Subteniente de bandera al Cadete D. Félix Alvarez Celleruelo.</t>
  </si>
  <si>
    <t>Rodríguez, Nicolás Antonio</t>
  </si>
  <si>
    <t>Nicolás Antonio Rodríguez</t>
  </si>
  <si>
    <t>ara otro simple de S. Christóbal el Real, territorio de la abadía de Samos, va^ cante por muerte de D. Nicolás Antonio Rodríguez, á D. Manuel Nu, ñez Bustamante : para otro de la parroquia de Móstoles, arzobispado de Toledo, vacante por promoción de D. Joseph Viu á una Canongía de la metropolitana de Toledo</t>
  </si>
  <si>
    <t>Rodríguez, Pedro</t>
  </si>
  <si>
    <t>Pedro Rodríguez</t>
  </si>
  <si>
    <t>teniente de granaderos D. Manuel Gines: en el de España á Capitán al Ayudante, graduado de Capitán, D. Pedro Rodríguez: en el batallón de Voluntarios de Tarragona á Teniente al Subteniente D. Joseph Algué; y en el segundo de Voluntarios de Aragón á Capitán segundo al Teniente, graduado* de Capitán</t>
  </si>
  <si>
    <t>ción con que se han distinguido en los exercicios jsjl^asante D. Antonio Navarrete y el leccionista D. Pedro Rodríguez ‘ipizquez, tuv© á bien el Colegio hacer una demostración de afecto á favor de. dichos dos sugesos , premiando al primero con un exemplar de la obra de D. Torquat© Torio de la Riva</t>
  </si>
  <si>
    <t>Rodríguez, Vicente Henrique</t>
  </si>
  <si>
    <t>Vicente Henrique Rodríguez</t>
  </si>
  <si>
    <t>úan. Olias del Rey , provincia de Toledo &gt; 8 de Marzo. E 1 Dr. en Medicina y Lie. en Cirugía médica D. Vicente Henrique Rodríguez , médico titular de esta villa, dio principio á la operación de la vacuna, y después D. Pedro Barrientos, cirujano de la misma, en el 11 de Julio de 1802 y hasta el mes de Octubre</t>
  </si>
  <si>
    <t>Roger Cartis, Almirante</t>
  </si>
  <si>
    <t>Almirante Roger Cartis</t>
  </si>
  <si>
    <t>orge Pr ingle, Comisario generals ambos autorizados por sus Excelencias el General Dundas y el Vice-Almirante Roger Cartis, por parte de S. M. Británica y y el Contra-Almirante Dekker, Comandante en xefe de la esquadra bátava, y el Coronel Henri, igualmente autorizados por S. E. el Comisario general d</t>
  </si>
  <si>
    <t>Román Mesones, Antonio</t>
  </si>
  <si>
    <t>Antonio Román Mesones</t>
  </si>
  <si>
    <t>D. Agustín de Simancas, Canónigo mas antiguo de la propia catedral: para esta Canongía al Racionero D. Antonio Román Mesones: para esta resulta al Medio-Racionero D. Francisco de Borja Zurita y Vergara; y para otra Media-Ración de la catedral de Popayan, vacante por renuncia que hizo de ella D. Joseph M</t>
  </si>
  <si>
    <t>Román, Francisco</t>
  </si>
  <si>
    <t>Francisco Román</t>
  </si>
  <si>
    <t>y D. Mariano Arroyo, y á los Sargentos primeros D. Miguel Garcés, D. Francisco Joseph de Ribera, y D. Francisco Román , el primero y último de granaderos. Y en el de Milicias de caballería de la propia isla há promovido S. M. á Capitán al Teniente Don Manuel Díaz; á;Teniente al Alférez de carabin</t>
  </si>
  <si>
    <t>Romano, Francisco Xavier</t>
  </si>
  <si>
    <t>Francisco Xavier Romano</t>
  </si>
  <si>
    <t>r para la Tesorería general del Consej* de Ordenes, vacante por ascenso de D. Lope de' Peñaranda, á D. Francisco Xavier Romano.</t>
  </si>
  <si>
    <t>Romano, Mateo</t>
  </si>
  <si>
    <t>Mateo Romano</t>
  </si>
  <si>
    <t>vido nombrar para una Canongía de la catedral de Segovia, vacante por muerte de D. Joseph Eúrgos, á D. Mateo Romano: para la Dignidad de Arcipreste de la catedral de Guadix, vacante por ascenso de D. Antonio Mancebo y Torres á la de Tesorero de la colegial de Baza, á D. Pantaleon Alvarez Cíenfu</t>
  </si>
  <si>
    <t>Romanzow, Conde</t>
  </si>
  <si>
    <t>Conde Romanzow</t>
  </si>
  <si>
    <t>os los poseedores de tierras dar libertad i sus esclavos, y concederles propiedades , á exemplo del Conde Romanzow. Otro ukase determina la duración del servicio de la nobleza, ^ Stockohno 4 de Abril. Acaba de hacerse una reforma en la administración de la marina sueca, cuya dirección ha encar</t>
  </si>
  <si>
    <t>Romero Fernández, Manuel</t>
  </si>
  <si>
    <t>Manuel Romero Fernández</t>
  </si>
  <si>
    <t>, y el de la parroquia de Villaescusa, ámbos en la diócesis de Osma, vacantes pot fallecimiento de D. Manuel Romero Fernandez, á D. Gregorio Aragoneses: para otro de residencia de coro y altar de la catedral de Ibiza, vavante por promoción de D. Joseph Bufli á una Ración de la misma catedral, á D. Joseph</t>
  </si>
  <si>
    <t>Romero Franchis, Joseph</t>
  </si>
  <si>
    <t>Joseph Romero Franchis</t>
  </si>
  <si>
    <t>e Canaria, vacante por promoción de D. - Agustín García Velez á una Ración de la propia catedral, á D. Joseph Romero Franchis. £1 Rey se ha servido conferir las Comandancias de los terceros batallones de .los regimientos de infantería de línea siguientes: la del de América al Teniente Coronel agregado al</t>
  </si>
  <si>
    <t>Romero Guijarro, Tomás</t>
  </si>
  <si>
    <t>Tomás Romero Guijarro</t>
  </si>
  <si>
    <t>der á su entrega á la casa del citado Sr. Conde de Noblejas , calle del Lobo, donde preguntarán por D. Tomas Romero Guijarro. La casa sita en la Cava baxa, núm. 9 , manz. 248, se remató en 60,400 rs. en vales Reales, y para la mejora del quarto se señalan 30 dias de término, que corren desde el 4 de est</t>
  </si>
  <si>
    <t>Romero, Joaquín</t>
  </si>
  <si>
    <t>Joaquín Romero</t>
  </si>
  <si>
    <t>e de granaderos D. Francisco Gallardo; y á Subteniente de bandera al Sargento primero de granaderos D. Joaquín Romero; habiendo nombrado también S. M. Capellán del primer batallón del de infantería de Soria al presbítero D. Sebastian Martínez Escribano. Asimismo se ha servido el Rey conceder Subt</t>
  </si>
  <si>
    <t>Romero, Juan Manuel</t>
  </si>
  <si>
    <t>Juan Manuel Romero</t>
  </si>
  <si>
    <t>n , podrán dirigir sus órdenes á la-casa de comercio de esta , que les acomode, ó á los fabricantes D. Juan Manuel Romero , D. Manuel Vázquez y'D. Simón de Plá , dando el competente tiempo para su apresto, si se pidiere cantidad de mucha consideración. La Sociedad, por su parte, dispondrá lo convenie</t>
  </si>
  <si>
    <t>e: ,, Accediendo el Rey á lo propuesto por V. E., se ha servido mandar devolver á D. Simón de Pía , D. Juan Manuel Romero y D. Manuel Vázquez los derechos de alcaydía, marchamo y tornaguía que se les han exigido de unos algodones de América conducidos con guia de Cádiz á S. Lúcar.” Y de Real orden lo tra</t>
  </si>
  <si>
    <t>Romero, Simón</t>
  </si>
  <si>
    <t>Simón Romero</t>
  </si>
  <si>
    <t>l Capitán del de la Corona D. Antonio Falques : en el fixo de Ceuta á primer Subteniente al segundo D. Simón Romero, y á segundos Subtenientes ai Sargento primero D. Antonio Malavia, y al Cadete, graduado de Subteniente, D. Fiorentin Martínez: en el de granaderos Voluntarios de Estado á Sargent</t>
  </si>
  <si>
    <t>Romo y Gamboa, Francisco</t>
  </si>
  <si>
    <t>Francisco Romo y Gamboa</t>
  </si>
  <si>
    <t>nientes! dei regimiento provincial de Cuenca, á D. Antonio Ibarrola, D. Lorenzo Medrano y Treviño , D. Francisco Romo y Gamboa, Subtenientes de los de Avila,Ciudad-Real y Sigüenza, y á D. Felipe Oviedo, que lo filé' del de Toledo. En los regimientos de Milicias provinciales ha promovido el Rey á Capítan p</t>
  </si>
  <si>
    <t>Romo, Francisco Joseph</t>
  </si>
  <si>
    <t>Francisco Joseph Romo</t>
  </si>
  <si>
    <t>ha nombrado Subtenientes de bandera de los de Sigiienza, Sevilla, Bujalance, Chinchilla y Cuenca á D. Francisco Joseph Romo , D. Fernando Juan de Zurita ,' D. Juan: Joseph de Lara y Pedrajas, D. Rafael Moxica y Tálense y D. Benito Ramos Novillo. S. M. ha nombrado para el empleo de Alguacil mayor de la</t>
  </si>
  <si>
    <t>Romo, Lorenzo Joseph</t>
  </si>
  <si>
    <t>Lorenzo Joseph Romo</t>
  </si>
  <si>
    <t>el de infantería de Hibernia: Capitanes de granaderos del de Sigiienza y Córdoba á los de fusileros D. Lorenzo Joseph Romo y D. Miguel de Coca : Capjtanes,de fusileros de los.de Granada y Ronda á los Tenientes de granaderos D. Francisco de Llanos y D. Nicolás María Rendon: Tenientes de. granaderos de los</t>
  </si>
  <si>
    <t>Romualdo Martín</t>
  </si>
  <si>
    <t>h Lamar; y en el de infantería de Aragón á Subteniente de bandera al Sargento primero de granaderos D. Romualdo Martin. En el Real cuerpo de Artillería se ha servido el Rey promover á Teniente Coronel al Xefe de brigada D. Joseph Quixano: á Xefe de brigada al Capitán primero, graduado deTeniente C</t>
  </si>
  <si>
    <t>Rondeau, Juan</t>
  </si>
  <si>
    <t>Juan Rondeau</t>
  </si>
  <si>
    <t>nas,Don Joaquín Foruer , D. Pedro Alcántara Ruiz y D. Vicente Asco ; á Alféreces á los Portaguiones D. Juan Rondeau , D. Andrés Ordoñez y D. Fran- » cisco de Paula Castellanos , al Cadete D. Joseph María Somalo, y al Sargento , graduado de Alférez, D. Antonio Perez, y: á Portaguiones á ios Cade</t>
  </si>
  <si>
    <t>Roque</t>
  </si>
  <si>
    <t>s Sres. viuda de D. Antonio Reynes é hijos, y en Madrid á D. Juan Bautista de Iribarren.. ' . e . : Don Roque. Campn, de Madrid , remitió por el correo de 8 de Febrero de este año, endosados con esta fecha a D. Joseph Gamón,, de Málaga, tres• vales Reales de 150 pesos, renovados en i.° de</t>
  </si>
  <si>
    <t>Roque Amia</t>
  </si>
  <si>
    <t>voluntarios de Estado D. Isidro del Saso: la del de Jaén al del mismo cuerpo, graduado dé Coronel, D. Roque Amia: la dél de las Ordenes Militares al del de la Reyna D. Sebastian de Zaragoza; y la del de Voluntarios de Castilla al Teniente Coronel agregado al de Mallorca , graduado de Coronel</t>
  </si>
  <si>
    <t>Roque Cilleruelo</t>
  </si>
  <si>
    <t>cito ha’nombrado S. M. Tenientes á los Subtenientes D. Joseph Iglesias Barrantes, D. Manuel Morete, D. Roque Cilleruelo y D. Sebastian de S. Juan; y Subtenientes á D. Andrés Rodríguez, D. Manuel Zapatero, que lo éran del regimiento de infantería de España y del provincial de Alcázar de S. Juan, como á</t>
  </si>
  <si>
    <t>Roque García Maganto</t>
  </si>
  <si>
    <t>l norte, aunque anticipándose hacia las costas del E. P01* e! correo de 2 r de Junio ultimo remitió D. Roque García Maganto á IX R ¿tmon Perez , vecino de !a villa de Beivis de Monroy , en Extremadura , un vale de 300 pesos, creación de i.° de Mayo, núm. 489697, perteneciente al hospital de dicho puebl</t>
  </si>
  <si>
    <t>Roque Rioboó</t>
  </si>
  <si>
    <t>mover ájCapitanes al Ayudante D. Luis Lahite y á los Tenientes de granaderos:D. Sebastian Planchón, D. Roque Rioboó y D« Bernardo Lorenzo; á Ayudante al Teniente D. Melchor de Reyna; á Tenientes de granaderos á los de fusileros D. Esteban Liñan, D. Antonio Grijoa y D. Gabriel Gascón; á Tenientes á</t>
  </si>
  <si>
    <t>Roque Torrejon</t>
  </si>
  <si>
    <t>ecie y para 2© arrobas de aceyte. Quien quisiere comprarla acudirá á tratar de ajuste en Madrid con D. Roque Torrejon, Agente de número de Indias, que vive en ia calle de Fuencarral; en Aranjuez con Francisco Otero, que vive en Ja calle del Almíbar sobre la dirección de carruages, y en Cienpozuel</t>
  </si>
  <si>
    <t>Rosado Ribero, Manuel</t>
  </si>
  <si>
    <t>Manuel Rosado Ribero</t>
  </si>
  <si>
    <t>l Arciprestazgo de Silos, y el de Palazuelos, en el de Candemuño, ambos de la diócesis de Burgos, á D. Manuel Rosado Ribero: para otro Beneficio de la parroquial del lugar de la Adrada, en la diócesis de Avila, que obtenia D. Joseph Ramirez, á D. Pedro Sánchez Llórente: para otro, vacante en la misma p</t>
  </si>
  <si>
    <t>Rosado, Joseph María</t>
  </si>
  <si>
    <t>Joseph María Rosado</t>
  </si>
  <si>
    <t>itán D. Joseph Nicolás Rosado, Ayudante mayor que era del mismo presidio; el empleo que este dexa á D. Joseph María Rosado , Teniente de la expresada compañía; esta resulta al Subteniente D. Josopli María Henriquez, y la Sub</t>
  </si>
  <si>
    <t>Rosales, Manuel</t>
  </si>
  <si>
    <t>Manuel Rosales</t>
  </si>
  <si>
    <t>s Medias-Prestameras de Buendia y de Zarzuela, en la diócesis de Cuenca?,, vacantes por renuncia de D. Manuel Rosales, á D. Domingo CafJtcro&gt; Sacristán mayor del Real convento de Sta. Isabel de Madrid : para' el Medio-Préstamo de la parroquia de la villa de Camarena, en la diócesis de Toledo, vac</t>
  </si>
  <si>
    <t>Rose</t>
  </si>
  <si>
    <t>o de las dos, la ciudad se presentó para cumplimentar á S. M. con motivo de la ultima conspiración. Mr. Rose le dirigió el discurso siguiente: ,, Señor. Nosotros, Leales vasallos de V”. M., el Lord Corregidor &amp;c., venimos á poner á los pies dei trono la expresión de nuestra sincera alegr</t>
  </si>
  <si>
    <t>Roseli, Manuel</t>
  </si>
  <si>
    <t>Manuel Roseli</t>
  </si>
  <si>
    <t>niños, zzz Reglas para entender-las sagrada escritura : obra postuma del Dr. D. Manuel Roseli, Canónigo de la Real iglesia de S. Isidro. Se venden en las librerías de Baylo y de Ramos. Las obras de S. Francisco de Sales: 8 tomos en 4.0: los dos de Cartas espirituales, dos de Sermone</t>
  </si>
  <si>
    <t>Rosell, Manuel</t>
  </si>
  <si>
    <t>Manuel Rosell</t>
  </si>
  <si>
    <t>plican los salmos que se cantan en las ho'ras menores y completas: traducidos del latín por el Dr.. D. Manuel Rosell, Canónigo de la Real iglesia de S. Isidro de Madrid. Se hallarán en las librerías de Baylo y de Ramos. Catecismo y exposición breve de la doctrina christiana , compuesto por el P.</t>
  </si>
  <si>
    <t>Rosendo Franco</t>
  </si>
  <si>
    <t>primero D. Rosendo Franco y al Cadete de las compañías de cazadores de la plaza de Ceuta D. Salvador de Les: en el primer batallón de Voluntarios de Cataluña el empleo de segundo Ayudante al Teniente Don ¡Fr</t>
  </si>
  <si>
    <t>Rosetti</t>
  </si>
  <si>
    <t>y á Constantinopla. Esto produxo el efecto que yo esperaba; y Mustafá vino á mi casa acompañado de Mr. Rosetti; me pidió públicamente perdón, y se entregó á mi disposición. Yo le dixe que mi primera intención habia sido de mandar cortarle la cabeza, y que debía su vida á los ruegos del Bax</t>
  </si>
  <si>
    <t>Rosíque, Vicente</t>
  </si>
  <si>
    <t>Vicente Rosíque</t>
  </si>
  <si>
    <t>Capítan primero D. Vicente Rosíque; á Sargento mayor al Xefe de brigada D. Juan de Ara; á Xefe de brigada al Capitán primero D. Vicente Keyna; á Capitán primero ai Capítan segundo D. Francisco Oyarzabal; á Capitane</t>
  </si>
  <si>
    <t>Rossi</t>
  </si>
  <si>
    <t>yes del pais le prohiben gozar de ellos mientras permanezca al servicio de una potencia extrangera. Mr. Rossi, Secretario de legación, quedará Encargado de negocios. Según cartas de Turquía, se ha formado en las cercanías de Schumlán, una compañía numerosa de bandidos, cuya cabeza es el h</t>
  </si>
  <si>
    <t>Rouhieres</t>
  </si>
  <si>
    <t>s intereses , y así es difícil de arreglar este negocio. La Dieta no se separará hasta la venida de Mr. Rouhieres, Secretario de la legación francesa , enviado á París por el General Ney para dar cuenta al primer Cónsul del resultado de las conferencias de este General con la junta nombrada p</t>
  </si>
  <si>
    <t>Rouvet, Almirante</t>
  </si>
  <si>
    <t>Almirante Rouvet</t>
  </si>
  <si>
    <t>rde llegó á esta ciudad el Vice- Almirante Truguét, quien mandará sin duda la esquadra.__ El Contra-Almirante Rouvet ha sido nombrado Comandante militar de este puerto, p&lt; r muerte del Contra-Almirante Terrasson.__ La división del Almirante Linois salió del Cabo el 11 de Mayo. Boloña 2$ de Octub</t>
  </si>
  <si>
    <t>RouvilLe, General</t>
  </si>
  <si>
    <t>General RouvilLe</t>
  </si>
  <si>
    <t>e, lo tiene i avisado á los. estados: ya lian salido los efectos que aquí tenían; y el Ayudante del General RouvilLe ha ido á Zuricli á prevenir, según dicen, los quarteles. .Berna $ de Febrero. H abiéndose quejado el General Ney ai gobierno helvético del contrabando que se hacia por la Suiza en</t>
  </si>
  <si>
    <t>Rou’re, Joseph</t>
  </si>
  <si>
    <t>Joseph Rou’re</t>
  </si>
  <si>
    <t>4-6 este acto, D. Joseph Rou’re, á hombre de’ los niños recitó'una poesía1 gratulatoria, y dixo otra en el de las niñas Doña Ramona Blanc. Continuó el socio D. Joseph Inocencio de Llano , secretario de la -asoci</t>
  </si>
  <si>
    <t>Rovira, Juan</t>
  </si>
  <si>
    <t>Juan Rovira</t>
  </si>
  <si>
    <t>iran segundo al Teniente D. Manuel Alvarez ; y eñ el primero de Barcelona á Teniente al Subteniente D. Juan Rovira. Asimismo se ha dignado S.M, conceder Subtenencias de bandera en el regimiento de infantería de la Corona al Cadete D. Joseph Ramón García y á D. Juan Bautista Garviso: en el de A</t>
  </si>
  <si>
    <t>Roxas, Manuel</t>
  </si>
  <si>
    <t>Manuel Roxas</t>
  </si>
  <si>
    <t>D. Domingo Sala: para la Canongía Doctoral de la catedral de Solsona, vacanfe por fallecimiento de D. Manuel Roxas, á D. Gerónimo Bellit: para la Canongía de la catedral de Guadix, vacante por promoción de D. Gabriel López Lorca á la Dignidad de Tesorero de la propia catedral, á Don Miguel Sal</t>
  </si>
  <si>
    <t>Roxo de Flores, Felipe</t>
  </si>
  <si>
    <t>Felipe Roxo de Flores</t>
  </si>
  <si>
    <t>termitir el uso que hicíéron nuestros Monarcas de tan importantes máximas en tiempos heroycos : por D. Felipe Roxo de Flores , Auditor de Guerra jubilado con sueldo por S. M., Fiscal de la Real Hacienda ea la provincia de Zamora, Asesor de'la especial comisión para la venta de bienes raices pertenecient</t>
  </si>
  <si>
    <t>Roxo Redondo, Ángel</t>
  </si>
  <si>
    <t>Ángel Roxo Redondo</t>
  </si>
  <si>
    <t>ia de Fuentes de Valdeperp, diócesis de Palencia, vacante por fall/ .cimiento de D. Matías Gómez, á D. Angel Roxo Redondo: para otro simple de S. Christóbal el Real, territorio de la abadía de Samos, va^ cante por muerte de D. Nicolás Antonio Rodríguez, á D. Manuel Nu, ñez Bustamante : para otro de l</t>
  </si>
  <si>
    <t>Roxo y Guillen, Joseph</t>
  </si>
  <si>
    <t>Joseph Roxo y Guillen</t>
  </si>
  <si>
    <t>ela de Seixas. Asimismo ha nombrado S. M. para la Vara de Alcalde mayor de la ciudad de Calatayud á D. Joseph Roxo y Guillen; y para la de la Igualada , en Cataluña, á D. Agustín Alberch. En America, El Rey -se ha servido conferir á D. Francisco Xavier 'Montufar/Corregidor interino de la villa de Riobam</t>
  </si>
  <si>
    <t>Rpxo de Flores, Felipe</t>
  </si>
  <si>
    <t>Felipe Rpxo de Flores</t>
  </si>
  <si>
    <t>cia: 4 tomos en 4.0 Se venden en las librerías de Barco y de Francés. Eloqiiencia forense: su autor D. Felipe Rpxo de Flores, Fiscal de Real Hacienda en la provincia de Zamora &amp;c, Esta obra, interesante por su objeto á los que se exercitan en los tribunales , es una recopilación de lo .mejor que han esc</t>
  </si>
  <si>
    <t>Rtiiz Zorrilla, Manuel</t>
  </si>
  <si>
    <t>Manuel Rtiiz Zorrilla</t>
  </si>
  <si>
    <t>Canongía de la de Bribiesca, diócesis de Burgos, que vacó por muerte de D. Miguel Perez Casabal., á D. Manuel Rtiiz Zorrilla:, Racionero de la misma iglesia; y para una Media Ración de la catedral de Cuenca, vacante por fallecimiento de D. Antonio Mazo de la Vega , á D. Juan Pablo Muñoz , Capellán y con</t>
  </si>
  <si>
    <t>Ru, Francisco</t>
  </si>
  <si>
    <t>Francisco Ru</t>
  </si>
  <si>
    <t>. Ramón Columna: para la Ración que este obtiene en la misma iglesia de Ceuta y resultará vacante á D. Francisco Ru iz Pinto ; y para la Canongía de la metropolitana de Toledo, vacante por fallecimiento de D. Miguel de Ochoa, á D. Francisco de Teran y Obregon. S. M. se ha servido conferir el em</t>
  </si>
  <si>
    <t>Rubalcaba, Francisco</t>
  </si>
  <si>
    <t>Francisco Rubalcaba</t>
  </si>
  <si>
    <t>onas D. Vicente Ortiz de Gordon: en el de Sevilla ai Sargento 'primero D. Antonio Coral y al Cadete D. Francisco Rubalcaba: en el de Toledo al Sargento primero de granaderos D*Manuel Carazo: en el de Hibernia al Cadete D. Pablo García de la . Peña ; y en el segundo batallón de Voluntarios de Cataluña</t>
  </si>
  <si>
    <t>Rübel, Miguel</t>
  </si>
  <si>
    <t>Miguel Rübel</t>
  </si>
  <si>
    <t>aragoza, á D. Pedro Espes y Mateo. S. M. se ha servido conceder el grado de Capitán de infantería i D. Miguel Rübel, Teniente del regimiento Suizo de Schmid, en premio del zelo, actividad y bizarría con que desempeña la comisión de perseguir, en Cataluña, á los malhechores y contrabandistas que</t>
  </si>
  <si>
    <t>Rubiano, Manuel</t>
  </si>
  <si>
    <t>Manuel Rubiano</t>
  </si>
  <si>
    <t>ga... ...%. D. Antonio Mariano. En Murcia..........Sres. Moreda y Ladalid. , Eti Oviedo............ D. Manuel Rubiano. En Patencia.........D. Nicolás Calonge é hijo. En Palma............D. Martin Mayol. En Pamplona.......Sres. viuda de Barbería é hijo. En Salamanca..... Sres. Urrero y Casaseca. E</t>
  </si>
  <si>
    <t>..Doña Catalina Guzman y Hugalde. En Murcia............Sres. Moreda y Ladalid. En Oviedo........... D. Manuel Rubiano. En Palencia........ D. Nicolás Calonge é hijo. En Palma...... ...... D. Martin Mayol. En Pamplona....... Sres. viuda de Barbería é hijos. En Salamanca......Sres. Urrero y Casasec</t>
  </si>
  <si>
    <t>Catalina Germán y Hugalde* En Murcia............. Sres. Moreda y Ladalid. En Oviedo............... D. Manuel Rubiano. En Palenda.......... D. Nicolás Caionge é hijo. En Palma.............. D. Martin Mayol. \ En Pamplona........ Sres. viuda de Barbería é hijos. En Salamanca...... Sres. Urrero y C</t>
  </si>
  <si>
    <t>Rubio, Joseph Felipe</t>
  </si>
  <si>
    <t>Joseph Felipe Rubio</t>
  </si>
  <si>
    <t>ropios,- cobrándolos mensualmente: su población es de 400 vecinos. Los pretendientes se dirigirán á D. Joseph Felipe Rubio, bíndico general 4¿ dicha*villa. '</t>
  </si>
  <si>
    <t>Rubio, Juan</t>
  </si>
  <si>
    <t>Juan Rubio</t>
  </si>
  <si>
    <t>ena y de la mala educación en los varios destinos de la sociedad : tercera impresión, corregida por D. Juan Rubio , Director y Visitador por S. M. de las Reales-escuelas, de comitiva y de esta corte. Este librito fué compuesto con el. objeto de que los niños que asisten á las escuelas de prim</t>
  </si>
  <si>
    <t>Ruffin</t>
  </si>
  <si>
    <t>stro plenipotenciario en todo el Levante, se ha puesto en camino para Suez.— El ciud. Ruffin, Encargado de Negocios de la República francesa, se lia quejado al ReisEffendi de que la Puerta hubiese dado una prueba de condescendencia con los ingleses rel</t>
  </si>
  <si>
    <t>Rui, Manuel Antonio</t>
  </si>
  <si>
    <t>Manuel Antonio Rui</t>
  </si>
  <si>
    <t>ha servido; S. M. nombrar para la Vara de Alcalde mayor de la villa de Caraváca, de tercera clase-á D. Manuel Antonio Rui* de Castañeda: para la de Montanehes, de segunda clísela D. Antonio Fernando Briz: para la del Gobierno de la vllla.de Giczaá D. Antonio Aniceto Joseph Sánchez, todas en el territ</t>
  </si>
  <si>
    <t>Ruiz Baroja, Gabriel</t>
  </si>
  <si>
    <t>Gabriel Ruiz Baroja</t>
  </si>
  <si>
    <t>sü voluntad que se verifique en otra de la misma iglesia, vacante por renuncia que ha hecho de ella D. Gabriel Ruiz Baroja. En el regimiento de infantería de Saboya se ha servido promover el Rey á Capitán al Teniente , graduado de Capitán, D, Paulino Unceta: en el de Valencia á Teniente al Subteniente</t>
  </si>
  <si>
    <t>Ruiz de Alcalá, Joseph</t>
  </si>
  <si>
    <t>Joseph Ruiz de Alcalá</t>
  </si>
  <si>
    <t>á Capitán primea ro al Capitán segundo D. Ignacio^de Vargas; á Ayudante mayorla l-Ca^ pitan segundo D. Joseph Ruiz de Alcalá; á^CapitaU-segundó Jal Téfii,eirte de obreros D. Agustín de la Vega, y á Teniente de obreros al SdbteUiéhte D. Francisco Arriaul ’ : '! 7 a Quien quisiere hacer postura á la villa</t>
  </si>
  <si>
    <t>Ruiz de Apodaca, Juan</t>
  </si>
  <si>
    <t>Juan Ruiz de Apodaca</t>
  </si>
  <si>
    <t>ortante empresa,se comisiono para ella al Capitán de Navio de la Real armada, hoy Xefe de Esquadra, D. Juan Ruiz de Apodaca. Principiadas ya las obras sobre los planos mas exactos y arreglados, se suscitaron algunas diferencias por la distribución del contingente de los arbitrios aplicados á Ja empresa</t>
  </si>
  <si>
    <t>Ruiz de Cabria, Antonio</t>
  </si>
  <si>
    <t>Antonio Ruiz de Cabria</t>
  </si>
  <si>
    <t>cómo también al Ayudante de la primerá.división de. granadérós provinciales,’graduado de Capitán , Don Antonio Ruiz de Cabria: en el ae Ultónia Compañía al Teniente de granaderos; con grado de Capitán, D. Guillermo Marrast de Forgis: en el de América Ayudantía al Teniente, con igual grado, D. Pedro Tejad</t>
  </si>
  <si>
    <t>Ruiz de Pina, Alonso</t>
  </si>
  <si>
    <t>Alonso Ruiz de Pina</t>
  </si>
  <si>
    <t>ostumbres y talento de las mugeres, escrita en francés por Mr. Tomas, y traducida al castellano por D. Alonso Ruiz de Pina. Esta obra es la mas curiosa y singular que acaso se habrá escrito en este género, y la mas propia para hacernos formar idea del bello sexo. Se hallará en la librería de Dávila, c</t>
  </si>
  <si>
    <t>Ruiz Fernández de Larrea, Antonio</t>
  </si>
  <si>
    <t>Antonio Ruiz Fernández de Larrea</t>
  </si>
  <si>
    <t>dral de Avila, vacante por promoción de D. Vicente de Soto y Valcarcel al Obispado de Valladolid, á D. Antonio Ruiz Fernandez de Larrea; para la de Tesorero de la misma catedral, vacante por fallecí</t>
  </si>
  <si>
    <t>Ruiz Manjon, Joseph</t>
  </si>
  <si>
    <t>Joseph Ruiz Manjon</t>
  </si>
  <si>
    <t>la catedral de Tuy, vacante por fallecimiento de D. Francisco Rodríguez Blanco, y por haber muerto D. Joseph Ruiz Manjon, á quien S. M. habia nombrado para él, antes de sacar la Real presentación, ¿ D. Francisco Ventura de Castro y Villegas, Canónigo mas antiguo de la misma catedral: para el Arcedia</t>
  </si>
  <si>
    <t>Ruiz Manjon, Joseph Antonio</t>
  </si>
  <si>
    <t>Joseph Antonio Ruiz Manjon</t>
  </si>
  <si>
    <t>Deanato primera silla de la catedral de Tuy, vacante por muerte de D. Francisco Rodríguez Blanco, á D. Joseph Antonio Ruiz Manjon, Dignidad de Maestrescuela y Canónigo de la misma catedral: para el Arcedianato de Villena, Dignidad de la catedral de Cartagena, vacante por fallecimiento de D. Miguel de Campos</t>
  </si>
  <si>
    <t>Ruiz Zorrilla, Manuel</t>
  </si>
  <si>
    <t>Manuel Ruiz Zorrilla</t>
  </si>
  <si>
    <t>s: para otra Ración de la colegial de Bribiesca, en la diócesis de Burgos, vacante por promoción de D. Manuel Ruiz Zorrilla a una Canongía de la misma* colegial, á D. Joseph Varona: para una Media-Rae.on de la catedral de Cuenca, vacante por muerte de D. Felipe Oitiz de SaL^.i, á D. Leandro Vicente Alv</t>
  </si>
  <si>
    <t>Ruiz, Francisco</t>
  </si>
  <si>
    <t>Francisco Ruiz</t>
  </si>
  <si>
    <t>En el regimiento de infantería de Zaragoza se ha servido S. M. promover á Subtenientes de bandera á D. Francisco Ruiz y á D. César dé Miranda, Sargento primero y Cadete del mismo: á Ayudante y Teniente en el de España al Teniente, graduado de Capitán, D. Cayetano Lacalle, y al Subteniente de granad</t>
  </si>
  <si>
    <t>Ruiz, Joseph</t>
  </si>
  <si>
    <t>Joseph Ruiz</t>
  </si>
  <si>
    <t>nes segundos D. Juan Carrera, D. Joseph Michan, D. Gregorio Pardo, D. Joseph Lana, D. Juan Sánchez, D. Joseph Ruiz, D. Francisco-Reyna y D. Joseph Vergara. El Rey ha nombrado en el Real cuerpo de Ingenieros Capitán primero á D. Pedro Grinda, Capitán segundo; y para este empleo al Teniente D. A</t>
  </si>
  <si>
    <t>Ruiz, Juan Antonio</t>
  </si>
  <si>
    <t>Juan Antonio Ruiz</t>
  </si>
  <si>
    <t>, diócesis de Osma , vacante por promoción de *D. Joseph Gonzaléz á Canongía de la misma iglesia, á D. Juan Antonio Ruiz j y para el Medio* Préstamo de la parroquial de la villa de la Armuña, diócesis de Toledo, vacante por fallecimiento de D. Juan García Baraona, á D. Alexandro Barruchi, con retenc</t>
  </si>
  <si>
    <t>Ruiz, Manuel</t>
  </si>
  <si>
    <t>Manuel Ruiz</t>
  </si>
  <si>
    <t>de Chile á D. Vicente Garreton, Subteniente del fhismo cuerpo; y los de Subtenientes á los Cadetes D. Manuel Ruiz y D.‘ Diego Padilla. El bergantín correo de la Real Armada el Descubridor, que salió de Cartagena de Indias el dia 2 de Julio y de la Havana él 22 del mismo, fondeó en la bahía de la</t>
  </si>
  <si>
    <t>Ruiz, Miguel</t>
  </si>
  <si>
    <t>Miguel Ruiz</t>
  </si>
  <si>
    <t>D. Angel Ffoguer. £1 Rey se ha servido promover á Ayudante del regimiento de cazado* res de Pavía á D. Miguel Ruiz, Teniente del propio cuerpo. En América. El Rey se ha servido nombrar para una Canongía de merced de la santa iglesia de Ciudad Real de Chiapa, vacante por fallecimiento-de D. Man</t>
  </si>
  <si>
    <t>Rumofski</t>
  </si>
  <si>
    <t>xhausto. Pe ters burgo 19 de Julio. S . M. I. ha regalado una sortija de diamantes de mucho valor á Mr. Rumofski, Consejero de Estado y Vice-Presidente de la Academia de las Ciencias, por haber traducido en lengua rusa una obra astronómica del académico* Schubert. Los dos baxeles rusos desti</t>
  </si>
  <si>
    <t>Ruperto</t>
  </si>
  <si>
    <t>; en geografía D. Francisco de Paula Rodríguez y D. Manuel Garzón y Berruezo; en historia de España D. Ruperto def Pulgar, Teniente Capitán del regimiento de Ñapóles, y D. Francisco Cálvelo, y en poética y retórica D. Antonio Garrido y Torres. En seguida disertó muy elegante y oportunamente s</t>
  </si>
  <si>
    <t>Ruvick, Duque</t>
  </si>
  <si>
    <t>Duque Ruvick</t>
  </si>
  <si>
    <t>e Pedro 1 y de Catalina 11. La serie de medallas de los Gran Duques es dé 43 , y empieza en el Gran Duque Ruvick, y acaba en Wasilic 11 Jannowitz. Las noticias de la colonia de Santo Domingo contienen que la expedición contra el fuerte Delfín , á las órdenes del General de división Clausel,</t>
  </si>
  <si>
    <t>Saavedra Carvajal, Francisco</t>
  </si>
  <si>
    <t>Francisco Saavedra Carvajal</t>
  </si>
  <si>
    <t>ivil de la Real Audiencia de Lima: para la. Regencia de la de Guadalaxara, vacante por promoción de D. Francisco Saavedra Carvajal á otra plaza del mismo Consejo, á D. Pedro Catani, Oidor decano de la Real Audiencia de Cuba; y para la Regencia de la Real’Audiencia de Goatemala, vacante por ascenso de D. Ambro</t>
  </si>
  <si>
    <t>Saavedra y Carvajal, Francisco</t>
  </si>
  <si>
    <t>Francisco Saavedra y Carvajal</t>
  </si>
  <si>
    <t>ogado del Consejo de Indias, vacante por fallecimiento de D. Juan Francisco Gutiérrez de Píñeres, á D. Francisco Saavedra y Carvajal,' Regente de la Real Audiencia de Guadalaxara : para otra plaza de Ministro Togado del propio Consejo, vacante por muerte de D, Tomas Alvares de Ácevedb, á D. Benito de la Mata-Li</t>
  </si>
  <si>
    <t>Saavedra, Francisco</t>
  </si>
  <si>
    <t>Francisco Saavedra</t>
  </si>
  <si>
    <t>del 5.0 á D. Manuel Torrado; á Capitán segundo del 3.0 á Don Joaquin Cancio, y á Teniente del i.° á D. Francisco Saavedra. Se advierte que las cartas para Ñapóles deben franquearse en los oficios de correos, pues sin esta circunstancia no se les dará curso. Por auto provehido el 15 de este mes por el</t>
  </si>
  <si>
    <t>Sabater, Antonio</t>
  </si>
  <si>
    <t>Antonio Sabater</t>
  </si>
  <si>
    <t>agoza, á Don Francisco Bondia ; y. para la Dpma de la parroquia de Ullestret, diócesis de Gerona, á D. Antonio Sabater. . . S. M. se ha servido nombrar para lajVara de Alcaide mayor de la villa de Fuente del Maestre á D. Francisco de Peña¿Medrano: para la de la villa de Azuaga á D. Diego Salcedo y</t>
  </si>
  <si>
    <t>Sacristán, Pabló</t>
  </si>
  <si>
    <t>Pabló Sacristán</t>
  </si>
  <si>
    <t>s de granaderos y Ayudantes del mismo cuerpo; Ayudantía al Teniente de él, grádúáao aé Cap i tari , D. Pabló Sacristán, y Subtenencias de bandera á los Cadetes D. Márcos Antonio Fay y D. Andrés de Castro: en el de Zamora Compañía al Ayudante, con grado de Capitán, D. Antonio Boggiefó; Ayudántíá'al</t>
  </si>
  <si>
    <t>Sacristán, Tomás</t>
  </si>
  <si>
    <t>Tomás Sacristán</t>
  </si>
  <si>
    <t>rs. , y renta 572 : en Segovia tres casas, una á la parroquia y. plázuela del Salvador, que habita D. Tomas Sacristán, en 125,320 rs., y renta 1800 : otra en la misma plazuela , frente á la anterior, en 116,329 rs. , y renta J700: otra de nueva fábrica en la propia feligresía y calle Real que bax</t>
  </si>
  <si>
    <t>Sáenz de Parayuelo, Francisco</t>
  </si>
  <si>
    <t>Francisco Sáenz de Parayuelo</t>
  </si>
  <si>
    <t>ximas de la medicina comunmente .adoptadas en perjuicio de su salud : 3 tomos en 8.° Las poesías de D. Francisco Saenz de Parayuelo se hallarán en la librería de Barco y compañía, calle de las Carretas. = Escuela para tocar la guitarra de 5 y 6 órdenes , con reglas generales de mano izquierda y derecha: compue</t>
  </si>
  <si>
    <t>Sáenz Diez y Durango, Andrés</t>
  </si>
  <si>
    <t>Andrés Sáenz Diez y Durango</t>
  </si>
  <si>
    <t>la Dignidad de Tesorero de la coi legial de Baza, diócesis de Guadix, vacante por fallecimiento de D. Andrés Saenz Diez y Durango, á D. Antonio Mancebo y Torres, Dignidad de Arcipreste de la misma iglesia: para uña Ración de la de SantiLlana¡ diócesis de Santander, vacante por ascenso d.e D. Joseph Antonio N</t>
  </si>
  <si>
    <t>Sáenz, Francisco</t>
  </si>
  <si>
    <t>Francisco Sáenz</t>
  </si>
  <si>
    <t>movido él Rey á Cadete de número al supernumerario D. Joseph Sánchez; y á supernumerario al Guardia D. Francisco Saenz. El Rey se ha servido conferir en el regimiento de infantería de la Reyna Tenencia al Subteniente de granaderos D. Pedro Piriz: en el de la Corona Compañía al Teniente de granader</t>
  </si>
  <si>
    <t>Sáenz, Manuel</t>
  </si>
  <si>
    <t>Manuel Sáenz</t>
  </si>
  <si>
    <t>e de 300 pesos, creación de 1.® de Setiembre, nfim. 58,488 ¿ eftdosjdó en 23 de Mayo á su orden por D. Manuel Saenz. El que supiere su paradero sé servirá de noticiarlo en Cádiz á dicho Martínez, y en Madrid á D» Valentín Ignacio de Urquijo.- * Por los años de 1737 se ausentó de la villa de Igu</t>
  </si>
  <si>
    <t>Sáenz, Pedro</t>
  </si>
  <si>
    <t>Pedro Sáenz</t>
  </si>
  <si>
    <t>l, D, Joseph Cruells: la del de Toledo al Ca-; pitan del de Mallorca, graduado de Teniente Coronel, D. Pedro Saenz: la del de Mallorca al Capitán del de Voluntarios de la Corona, graduado de Teniente Coronel, D. Agustin Blake: la del de Burgos al Capitán, del de Sevilla, graduado de Teniente C</t>
  </si>
  <si>
    <t>Sagarminaga, Francisco</t>
  </si>
  <si>
    <t>Francisco Sagarminaga</t>
  </si>
  <si>
    <t>sco Gutiérrez Valdés: para la Canongía, que este obtiene en la misma iglesia y resultará vacante, á D. Francisco Sagarminaga: para el Benéñcio simplei de Castrillonde Murcia en el arzobispado di Burgos, vacante; por mu¿rteTde D. Joseph M^ría Fernandez Saavedra, á D. Leoncio Tenaquero: para el Benefició</t>
  </si>
  <si>
    <t>Sagrado, Pedro</t>
  </si>
  <si>
    <t>Pedro Sagrado</t>
  </si>
  <si>
    <t>3°3 aquel arzobispado: para tina Canongía de la catedral de Segftvía, vacante por fallecimiento de D. Pedro Sagrado, á D. Joseph Sanz Monroy, Cura de la parroquia de Santiago de la villa de Alcazaren, en aquel obispado: para otra Canongía de la colegial de Valpue.sta, diócesis de Burgos, vacant</t>
  </si>
  <si>
    <t>Sahuguet</t>
  </si>
  <si>
    <t>ma mas ,y multiplica sus prodigios en las batallas.” París 1% de Diciembre. E 1 ciud. Sahuguet, Capitán general de Tabago, ha escrito al Ministro de la Marina y de las Colonias la siguiente carta, su fecha en Scarboroug á 7 de Octubre: ,,Ciudadano Minist</t>
  </si>
  <si>
    <t>Saint-Haouen, Capitán</t>
  </si>
  <si>
    <t>Capitán Saint-Haouen</t>
  </si>
  <si>
    <t>ue acababan de bombardear á Calais , la ocasión de atacarlas repetidas veces, ántes de reunirse. El Capitán Saint-Haouen, que mandaba la división de Calais, no solamente sostuvo vanos combates por muchas horas, sino que obligó al enemigo á una retirada , que el Almirante Bruix caracteriza de ignomin</t>
  </si>
  <si>
    <t>han llegado ayer á este puerto dos divisiones de la esquadrilla nacional.__ Habia dado yo orden al Capitán Saint-Haouen, comandante, de la que se hallaba en Calais, que saliese de este puerto que el enemigo procuraba bombardear. Mi objeto era , haciéndola salir-, el vengar el insulto, y al mismo ^e</t>
  </si>
  <si>
    <t>SaintCyr, General</t>
  </si>
  <si>
    <t>General SaintCyr</t>
  </si>
  <si>
    <t>la Liguria, la Toscana, la Lombardía &amp;c. 3.0 El exército llamado de observación, á las órdenes del General SaintCyr, que está actualmente en el territorio de Nápoles. Este exército subirá á 50© hombres comprehendiendo las tropas italianas___ Escriben de Sinigaglia que se ha mandado armar un gra</t>
  </si>
  <si>
    <t>Sainz, Gaspar</t>
  </si>
  <si>
    <t>Gaspar Sainz</t>
  </si>
  <si>
    <t>villa, Saboya, Burgos, Guadalaxara y Borbon; y la del de Aragón al Sargento mayor del propio cuerpo D. Gaspar Sainz. S. M. se ha dignado conferir el regimiento de Húsares Voluntarios al Coronel D. Joseph Ignacio de March, Teniente Coronel del de cazadores del Rey. An América. En el regimiento d</t>
  </si>
  <si>
    <t>Saiz de la Fuente, Gregorio</t>
  </si>
  <si>
    <t>Gregorio Saiz de la Fuente</t>
  </si>
  <si>
    <t>nador de la provincia de Moxos, en Buenos-Ayres. El Rey se ha servido nombrar, por fallecimiento de D. Gregorio Saiz de la Fuente y D. Juan Gabriel Fernandez Serrano, Agentes de negocios del número de Indias, á D. Antonio de Ugarte y Larrazabal y D. Angel Escudero Guzman. Por el Ministerio de Hacienda se ha comu</t>
  </si>
  <si>
    <t>Saiz de Villegas, Manuel</t>
  </si>
  <si>
    <t>Manuel Saiz de Villegas</t>
  </si>
  <si>
    <t>2 D. Manuel Becerril y Valero: para la de Ciudad-Real á D. Valentín Melendo: para la de Cartagena á D. Manuel Saiz de Villegas: para una de las Varas de la ciudad de Zaragoza á D. Antonio Caro y Gini: para la de la ciudad de Lérida á D. Francisco Xavier García: para la de Granollers á D. Manuel Esteban Ba</t>
  </si>
  <si>
    <t>Sala, Domingo</t>
  </si>
  <si>
    <t>Domingo Sala</t>
  </si>
  <si>
    <t>de Oliveros, á D. García de Mendoza, y Rocha: para una Canongía de la metropolitana de Tarragona á D. Domingo Sala: para la Canongía Doctoral de la catedral de Solsona, vacanfe por fallecimiento de D. Manuel Roxas, á D. Gerónimo Bellit: para la Canongía de la catedral de Guadix, vacante por pr</t>
  </si>
  <si>
    <t>Sala, Juan</t>
  </si>
  <si>
    <t>Juan Sala</t>
  </si>
  <si>
    <t>la librería de Hurtado, calle de las Carretas. Ilustración del Derecho Real de España, ordenada por D. Juan Sala, Pavorde 4e la metropolitana iglesia de Valencia, y Catedrático de prima de leyes en la universidad de la misma ciudad. Esta obra se ha trabajado á manera de Instituciones del Der</t>
  </si>
  <si>
    <t>Salazar y Allendelagua, Agustín</t>
  </si>
  <si>
    <t>Agustín Salazar y Allendelagua</t>
  </si>
  <si>
    <t>Dátoli, D. Mateo Chardenaux y Rodríguez, D. Pablo Argaiz y Aranguren, D. Pablo Ventades y Martínez, D. Agustín Salazar y Allendelagua, Don Juan Pusterla y Lerin, D. Pedro del Barco y la Cendeja, D. Francisco Saravia y Zuazo, D. Manuel Cebriaa y Castro, D. Antonio Esparza Go* méz de Bonilla, D. Vicente Cabeza de</t>
  </si>
  <si>
    <t>Salazar y Castro, Luis</t>
  </si>
  <si>
    <t>Luis Salazar y Castro</t>
  </si>
  <si>
    <t>e mas conveniente.- &lt; , Arboles de costados-de las^priméras casas de estos reynos: obra escrita por Don Luis Salazar y Castro , conmista que fué de Castilla 5 en el qué en cada hoja se incluye el árbol de la casa que trata. = La Religiosa en soledad / del P. Pinamonti, de la Compañía de Jesús. Se hallará</t>
  </si>
  <si>
    <t>Salazar, Joseph</t>
  </si>
  <si>
    <t>Joseph Salazar</t>
  </si>
  <si>
    <t>nes segundos á los Tenientes D. Jo-^ seph de Power, de granaderos, D. Juan Viñals, D. Luis de Lara, D. Joseph Salazar, D. Joseph de la Espada, D. Esteban Fernandez y D. Juan Dávila; á Tenientes de granaderos á los de fusileros D. Joaquín Goyena y D. Bartolomé Lison ; á Tenientes á los Subteniente</t>
  </si>
  <si>
    <t>Salazar, Salvador</t>
  </si>
  <si>
    <t>Salvador Salazar</t>
  </si>
  <si>
    <t>as razones. ;" El Rey se ha servido promover á Tenientes en el regimiento de infantería de Toledo á D. Salvador Salazar: en el de Ilibernia á D. Bernardo Alvarez; y en el de Borbon á D. Francisco La Coste y á D. Mayeuil de Borredon, todos Subtenientes de granaderos de los mismos cuerpos; y á Subten</t>
  </si>
  <si>
    <t>Salbans, Francisco</t>
  </si>
  <si>
    <t>Francisco Salbans</t>
  </si>
  <si>
    <t>udante y Teniente de granaderos del mismo cuerpo, como también al Ayudante dél: provincial:de Ronda D. Francisco Salbans; y Subtenencia de bandera’ di Sargento primero de granaderos del propio regimiento D. Gabriel Hernández: en el de la Corona Compañías al Teniente de granaderos de él, graduado de</t>
  </si>
  <si>
    <t>Salcedo y Ortega, Diego</t>
  </si>
  <si>
    <t>Diego Salcedo y Ortega</t>
  </si>
  <si>
    <t>r de la villa de Fuente del Maestre á D. Francisco de Peña¿Medrano: para la de la villa de Azuaga á D. Diego Salcedo y Ortega, ámbas de segunda clase: para la de la de Castrotorafe á D. Pascual Alpuente : para la del Gobierno de la villa de Ocaña á D. Eugenio Miguel Fernandez Maídonado, todas en el terri</t>
  </si>
  <si>
    <t>Salido Granados, Miguel</t>
  </si>
  <si>
    <t>Miguel Salido Granados</t>
  </si>
  <si>
    <t>vacante por promoción de D. Gabriel López Lorca á la Dignidad de Tesorero de la propia catedral, á Don Miguel Salido Granados: para el oficio regular de Refitolero del Real monasterio de S. Cugat del Valles á D. Fr. Tomas de Berart: para ei de Sacristán del de Besalu á D. Fr. Joseph Antonio de Tord y de</t>
  </si>
  <si>
    <t>Salido, Miguel</t>
  </si>
  <si>
    <t>Miguel Salido</t>
  </si>
  <si>
    <t>nsj á D. Joseph Espinos y Aray: para una Ración de la catedral de Guadix , vacante por promoción de D. Miguel Salido á Cano 11gía de la misma iglesia, á D. Manuel García Baquero; y para un Beneficio de la parroquia de Santa María de Caldas de Mombuy, diócesis de Barcelona, vacante por fallecimie</t>
  </si>
  <si>
    <t>Salinas, Manuel</t>
  </si>
  <si>
    <t>Manuel Salinas</t>
  </si>
  <si>
    <t>l Alonso á una Canongía de "Cuenca, y por renuncia que ha hecho de él D. Juan Francisco Avendaño, á D. Manuel Salinas: para un Beneficio del Coto de Labio, en el arciprestazgo de Pravia de Allende, obispado de Oviedo, á D. Fabian López y González; y para otro de Santa Eulalia de Cueras, en Cangas</t>
  </si>
  <si>
    <t>Saliquet, Juan</t>
  </si>
  <si>
    <t>Juan Saliquet</t>
  </si>
  <si>
    <t>Brigadier D. Domingo Wiels, Teniente de Rey de la de Barcelona: la Tenencia de Rey de la de Denia á D. Juan Saliquet, Teniente Coronel del Real cuerpo de Ingenieros; y la Sargentía mayor de la de Cádiz al Teniente Coronel D. Francisco Xavier Abadía, Capitán del batallón de voluntarios de infante</t>
  </si>
  <si>
    <t>Samoilowitz</t>
  </si>
  <si>
    <t>o de haberse expuesto á todos los peligros de contraería. Lo mismo hizo habrá unos 25 &lt;5 30 años el Dr. Samoilowitz , primer Médico de los exércitos de la Emperatriz Catalina ,xy publicó una memoria sobre la inoculación de la peste. a Augs burgo 27 de Agosto. ./acaba de publicarse una nueva ord</t>
  </si>
  <si>
    <t>Samuel Richardson</t>
  </si>
  <si>
    <t>í caballero Carlos Grandison, novela muy instructiva y amena del celebre ingles Samuel Richardson, autor dé la Clara Harlowe. Se vende en la librería de Castillo, frente á S. Felipe el Real. 1 _ ~~ " EN LÁ IMTRENTA REAL.</t>
  </si>
  <si>
    <t>San, Vicente</t>
  </si>
  <si>
    <t>Vicente San</t>
  </si>
  <si>
    <t>ca, Toledo, Ciudad Real y Monterey á.D- Francisco de Paula Fernandez y Valdivia, D. Domingo Osorio, D. Vicente San.tisteban Sánchez de Torres, D. Lorenzo Mediano y.Treviño y:D_...Xavier-Mart’rnez Noguerol. ¿ . En América. En el .regimiento, de infantería iixo de Nueva España ha, servido el Rey</t>
  </si>
  <si>
    <t>Sanche, Joseph</t>
  </si>
  <si>
    <t>Joseph Sanche</t>
  </si>
  <si>
    <t>in Fontaine; Subtenencia de bandera al Cadete D.Jo. seph Eugenio de Aguilera ; la Ayudantía mayor á D. Joseph Sanche* Grillan, Teniente del regimiento de infantería de la Havana; Tenencia de granaderos á D. Mariano Aymericii, y ía Tenencia veterana que este dexa á D. Miguel Francisco Manzo, Sarg</t>
  </si>
  <si>
    <t>Sánchez Cidras, Bernardo</t>
  </si>
  <si>
    <t>Bernardo Sánchez Cidras</t>
  </si>
  <si>
    <t>Tuy , vacante por promoción de D. Francisco Ventura de Castro y Villegas al Deanato de la misma, á D. Bernardo Sánchez Cidras: -para una Ración de la santa iglesia de Toledo, vacante por promoción de D. Joseph Blas García Moreno al Ai% ciprestazgo de Talamanca, á D. Agustin Galocha Gutiérrez: para otra d</t>
  </si>
  <si>
    <t>Sánchez Conde, Juan</t>
  </si>
  <si>
    <t>Juan Sánchez Conde</t>
  </si>
  <si>
    <t>iene en la misma iglesia de Coria él referido D. Vicente de Cáceres, y resultará también vacante, á D. Juan Sánchez Conde, Cura de la parroquial de la villa de Malpartida de Cáceres, en aquella diócesis: para el Arciprestazgo de Silos, en la diócesis de Burgos, vacante por muerte de D. Marcos Celesti</t>
  </si>
  <si>
    <t>Sánchez de Valboa y López, Pedro</t>
  </si>
  <si>
    <t>Pedro Sánchez de Valboa y López</t>
  </si>
  <si>
    <t>angas de Tineo, y el de Santa María de Regla de Corlas, en el mismo concejo y obispado de Oviedo, á D. Pedro Sánchez de Valboa y López. S. M. se ha servido conceder Tenencia en el regimiento de infantería de Guadalaxara al Subteniente de granaderos D. Miguel Hurtado; y Subtenencia de bandera en él de Africa al Ca</t>
  </si>
  <si>
    <t>Sánchez Fallarés, Antonio María</t>
  </si>
  <si>
    <t>Antonio María Sánchez Fallarés</t>
  </si>
  <si>
    <t>esta afectuosa demostración con ioors. A cada uno; después de lo qual el Secretario de la Sociedad D. Antonio María Sánchez Fallarés leyó un eloqiiente discurso sobre la importancia de la educación pública, á que siguiéron los aplausos de todo el concurso, terminándose este acto con la singular beneficencia del</t>
  </si>
  <si>
    <t>Sánchez Ibáñez, Ignacio</t>
  </si>
  <si>
    <t>Ignacio Sánchez Ibáñez</t>
  </si>
  <si>
    <t>ido nombrar para una Media-Ración de la catedral de la Puebla de los Angeles, vacante por muerte de Don Ignacio Sánchez Ibañez, á D. Gregorio Fontanes, Cura de la villa de Xalapa, en dicha diócesis. También ha promovido S. M. en el regimiento de infantería de Buenos-Ayres á Coronel al Teniente Coronel del</t>
  </si>
  <si>
    <t>Sánchez Larios de Godoy, Tomás</t>
  </si>
  <si>
    <t>Tomás Sánchez Larios de Godoy</t>
  </si>
  <si>
    <t>tantina, en la diócesis de Sevilla, vacante por fallecimiento de D. Joseph Alaría Leal de Ibarra, á D. Tomas Sánchez Larios de Godoy: para una Media-Capellanía R acional de la catedral deTarazona, vacante por muerte de Don Cenon de Torres, á D. Manuel Galindo; y para una Capellanía de las</t>
  </si>
  <si>
    <t>Sánchez Llórente, Pedro</t>
  </si>
  <si>
    <t>Pedro Sánchez Llórente</t>
  </si>
  <si>
    <t>de la parroquial del lugar de la Adrada, en la diócesis de Avila, que obtenia D. Joseph Ramirez, á D. Pedro Sánchez Llórente: para otro, vacante en la misma parroquial por fallecimiento de D. Cosme García Porro, áD. Ambrosio Delgado, con la obligación de precisa y personal residencia que tiene anexa; y</t>
  </si>
  <si>
    <t>Sánchez Moscoso, Miguel</t>
  </si>
  <si>
    <t>Miguel Sánchez Moscoso</t>
  </si>
  <si>
    <t>ido S. M. nombrar para una plaza de Oidor de Id Real Audiencia del Cuzco, vacante por jubilación de D. Miguel Sánchez Moscoso, á D* Manuel Plácido BerriozabaL, Catedrático de Cánones de la universidad de Granada. La Real Academia española representada por sus individuos de nú-* mero el Excmo. Sr. Duque d</t>
  </si>
  <si>
    <t>Sánchez Rando, Diego</t>
  </si>
  <si>
    <t>Diego Sánchez Rando</t>
  </si>
  <si>
    <t>ón, á D. Anselmo de Soto: para otra Canonjía de la catedral de Málaga, vacante por fallecimiento de D. Diego Sánchez Rando, á D. Salvador Casamayor: para otra Canongía de la misma catedral, vacante por muerte de IX Bernardo Espinosa, aD, Joaquin Castani de Sotomayor, Dean de la de Ceuta: para otra Can</t>
  </si>
  <si>
    <t>Sánchez Salvador, Manuel Pedro</t>
  </si>
  <si>
    <t>Manuel Pedro Sánchez Salvador</t>
  </si>
  <si>
    <t>or constará de 17 entregas solamente. Afte de hacer el vino, por el C. Cadet de Vaux, traducido por D. Manuel Pedro Sánchez Salvador , dedicado al iiustrísimo reyno de Navarra: un tomó eri 8.° prolongado. El C. Chaptal tiene hecho el grande elogio que se merece está obra , y aunque tomado este tratado del Dicci</t>
  </si>
  <si>
    <t>Sánchez Tagle, Joseph</t>
  </si>
  <si>
    <t>Joseph Sánchez Tagle</t>
  </si>
  <si>
    <t>ríguez Perez, Don Fráncisco Gregorio, D. Tomas Aguirre, D. Juan Ponsich, D. Felipe del Arco Agüero, D. Joseph Sánchez Tagle, D. Francisco Xaramillo, Don Dionisio López Pinto, D. Mariano Carrillo de Albornoz, D. Francisco Justis ,D. Bernardo Landaburu, D. Diego Rejón de Silva y D. LuisLandaburu : al Cad</t>
  </si>
  <si>
    <t>Sánchez, Andrés</t>
  </si>
  <si>
    <t>Andrés Sánchez</t>
  </si>
  <si>
    <t>D. Francisco Virues, Teniente del mismo cuerpo: Subtenencias en el de Valencia al Sargento primero D. Andrés Sánchez, y á los Cadetes D. Joseph María y D. Joaquín Vidal y Bou: Ayudantía en el de Guadalaxara al Teniente de granaderos, graduado de Capitán, D. Rafael de Lianza: Tenencia en el de Na</t>
  </si>
  <si>
    <t>Sánchez, Antonio</t>
  </si>
  <si>
    <t>Antonio Sánchez</t>
  </si>
  <si>
    <t>D. Francisco López Ganuza ; á Ayudante mayor al Teniente veterano D. Juan Meló, y á esta resulta á D. Antonio Sánchez,Sargento primero veterano, todos del mismo eyerpo: en el de Milicias de caba</t>
  </si>
  <si>
    <t>Sánchez, Bartolomé</t>
  </si>
  <si>
    <t>Bartolomé Sánchez</t>
  </si>
  <si>
    <t>ro Calvo. Asimisiño-ha promovido-S. M.en el regimiento de. infantería de Cuba á Capitán ai Ayudante D. Bartolomé Sánchez; á Ayudante al Teniente ,de granaderos i)..¡Pedro Santacilia; á Teniente de .granaderos al de fusileros D. Joseph Solves ; á Tenientes á los Subtenientes de granaderos I&gt;&gt; Manuel;</t>
  </si>
  <si>
    <t>Sánchez, Diego</t>
  </si>
  <si>
    <t>Diego Sánchez</t>
  </si>
  <si>
    <t>de Febrero. ; E 1 Rey se ha servido conferir compañía en el regimiento de húsares de[ OI ivencia á D. Diego Sánchez, Ayudante del mismo cuerpo; y pronto-’ ver á Teniente en el de húsares de Lusitania á D. Laureano González, Alférez del mismo cuerpo; y á Teniente en el de cazadores de Villavicio</t>
  </si>
  <si>
    <t>Sánchez, Francisco</t>
  </si>
  <si>
    <t>Francisco Sánchez</t>
  </si>
  <si>
    <t>20 los iluminados. Composición poética en la muerte de la Excma. Sra. Duquesa de Alba: escrita por D. Francisco Sánchez. Se hallará en la librería de Fuentenebro y compañía, calle de las Carretas. Puede ir en carta. El Ramillete ó los aguinaldos de Apolo: colección útil y divertida de novelas , cue</t>
  </si>
  <si>
    <t>Sánchez, Francisco Xavier</t>
  </si>
  <si>
    <t>Francisco Xavier Sánchez</t>
  </si>
  <si>
    <t>. Joaquin Sonano: para otro de la de-Almoradí,, diócesis de Grihuela-, vacanre por fallecimiento de D. Francisco Xavier Sánchez, á D. Christóbal Quadrado: para otro Beneficio patrimonial de la parroquial de la villa de Sadaba, diócesis de Jaca , vacante por muerte de D. Joseph Serrano, á D. Sebastian Labor</t>
  </si>
  <si>
    <t>Sánchez, Joseph</t>
  </si>
  <si>
    <t>Joseph Sánchez</t>
  </si>
  <si>
    <t>liana del Real cuerpo de Guardias de Corps ha promovido él Rey á Cadete de número al supernumerario D. Joseph Sánchez; y á supernumerario al Guardia D. Francisco Saenz. El Rey se ha servido conferir en el regimiento de infantería de la Reyna Tenencia al Subteniente de granaderos D. Pedro Piriz: e</t>
  </si>
  <si>
    <t>Sánchez, Juan</t>
  </si>
  <si>
    <t>Juan Sánchez</t>
  </si>
  <si>
    <t>eros á los Capitanes segundos D. Juan Carrera, D. Joseph Michan, D. Gregorio Pardo, D. Joseph Lana, D. Juan Sánchez, D. Joseph Ruiz, D. Francisco-Reyna y D. Joseph Vergara. El Rey ha nombrado en el Real cuerpo de Ingenieros Capitán primero á D. Pedro Grinda, Capitán segundo; y para este empleo</t>
  </si>
  <si>
    <t>Sánchez, Pablo</t>
  </si>
  <si>
    <t>Pablo Sánchez</t>
  </si>
  <si>
    <t>niente de granaderos al de fusileros D. Francisco Pineda; á Tenientes de fusileros los Subtenientes D. Pablo Sánchez, de granaderos , y D. Juan Escalona ; á Subteniente de granaderos al de fusileros Don Ramón Ayala; á Subteniente de compañía al Sargento primero D. Angel Gutierres , y á Subtenien</t>
  </si>
  <si>
    <t>Sánchez, Pedro Antonio</t>
  </si>
  <si>
    <t>Pedro Antonio Sánchez</t>
  </si>
  <si>
    <t>y clima, y de que medio podria inñuir esta medida sobre la propiedad industrial. £1 socio de mérito D. Pedro Antonio Sánchez, Canónigo de la santa iglesia metropolitana de Santiago , l a depositado en la tesorería de este cuerpo patriótico., la cantidad de 1500 rs. para el que en una memoria desempeñe m</t>
  </si>
  <si>
    <t>Sánchez, Pedro Joseph</t>
  </si>
  <si>
    <t>Pedro Joseph Sánchez</t>
  </si>
  <si>
    <t>este obtiene en ella á D. Francisco Enciso: para la de la catedral de Guadix, vacante por muerte de D. Pedro Joseph Sánchez, á D. Pedro de Orbe Earreátegui: para otra de la de Málaga, vacante por la promoción de D. Juan de Castañeda al Arcedianato de Alicante, Dignidad de la de Orihuela, á D. Joseph Ma</t>
  </si>
  <si>
    <t>Sánchez, Vicente</t>
  </si>
  <si>
    <t>Vicente Sánchez</t>
  </si>
  <si>
    <t>Ignacio Ordovas y D. Joaquin Biado, Cadetes de los de Murcia, Mallorca y Compañía fixa de Rosas; í D. Vicente Sánchez y D. Joaquin de la Cruz, Cadetes de los de caballería de Húsares Españoles y de España, quarto de Húsares; á D. Luis Cacho Montenegro y D. Miguel Santiilana, Subtenientes de la compañ</t>
  </si>
  <si>
    <t>Sanchiz, Francisco</t>
  </si>
  <si>
    <t>Francisco Sanchiz</t>
  </si>
  <si>
    <t>itán primero, graduado deTeniente Coronel, D. Rafael de Hoces: á Capitán primero al Capitán segundo D. Francisco Sanchiz; y á Capitán segundo al Teniente D. Joaquín Vereterra. En atención á los méritos y servicios de D. Joseph del Rivero Ceva— líos , Administrador general de la Real renta de la lote</t>
  </si>
  <si>
    <t>Sancho García</t>
  </si>
  <si>
    <t>os Eruditos á la violeta ó curso completo de todas las ciencias: el Suplemento á este famoso curso: D. Sancho García, Conde de Castilla , tragedia española original : los Ocios de su juventud : varias poesías y otros papeles inéditos : los Anales de cinco dias: las célebres Cartas marruecas: la</t>
  </si>
  <si>
    <t>Sañez Reguat, Antonio</t>
  </si>
  <si>
    <t>Antonio Sañez Reguat</t>
  </si>
  <si>
    <t>Diccionario histórico de las artes de la pesca nacional, por el Comisario Real de Guerra de Marina D. Antonio Sañez Reguat: cinco tomos con láminas, en pasta papel marquilla........................................................................ ... 350. i$o. Idem papel florete........................</t>
  </si>
  <si>
    <t>Sans, Andrés</t>
  </si>
  <si>
    <t>Andrés Sans</t>
  </si>
  <si>
    <t>ra también Penitenciaria .de la misma catedral , vacante por fallecimiento de D. Miguel Quadrado, á D. Andrés Sans. El Rey se ha servido conceder en.el regimiento de infantería de Toledo Tenencias á los Subtenientes de igranaderos D. Joaquin de Soto y D. Raymundo Ruiz: en el de Irlanda Tenenci</t>
  </si>
  <si>
    <t>Santaló, Esteban</t>
  </si>
  <si>
    <t>Esteban Santaló</t>
  </si>
  <si>
    <t>do Priorato, en la parroquial del lugar de la Liacuna, diócesis de Barcelona, vacante por muerte de D. Esteban Santaló, á D. Valentín García*, para otro Beneficio de S. Miguel, llamado Comunda , en la villa de Prats del Rey, diócesis de Vique, vacante por fallecimiento de D. Francisco Coldelram, á</t>
  </si>
  <si>
    <t>Santander, Manuel</t>
  </si>
  <si>
    <t>Manuel Santander</t>
  </si>
  <si>
    <t>ncia al Alférez D. Manuel Bretón , y el empleo de Alférez á los Cadetés D. Joseph María de Alippi,y D. Manuel Santander: en el de húsares de María Luisa Compañía al Ayudante, graduado de Capitán, D. Nicolás'Moreno,' y para esta resulta al Teniente D. Cárlos Borelli; y en el de húsares dé Oiivencia</t>
  </si>
  <si>
    <t>Santos Florez, Martín</t>
  </si>
  <si>
    <t>Martín Santos Florez</t>
  </si>
  <si>
    <t>debe asistir, que constan de 10 vecinos. El que quiera hacer pretensión-podrá remitir su memorial á D. Martin Santos Florez , Regidor perpetuo de dicho Somiedo, expresando en él &gt;sí ha asistido en algunos hospitales La dirección es por Oviedo, Grado., Y se previene que el electo deberá presentarse dent</t>
  </si>
  <si>
    <t>Santos, Manuel</t>
  </si>
  <si>
    <t>Manuel Santos</t>
  </si>
  <si>
    <t>s de bandera en el de la Reyna al Cadete D. Florencio Palacios; en el de Zamora al Sargento primero D. Manuel Santos; en el de •León al Cadete D. Francisco Arguelléis, y en el de la Princesa al Sargento primero D. Christóbal Docioy al Cadete D. Joseph Hermida y Mosquera. • • ........' í - ’ ; Ta</t>
  </si>
  <si>
    <t>Sanz Monroy, Joseph</t>
  </si>
  <si>
    <t>Joseph Sanz Monroy</t>
  </si>
  <si>
    <t>do: para tina Canongía de la catedral de Segftvía, vacante por fallecimiento de D. Pedro Sagrado, á D. Joseph Sanz Monroy, Cura de la parroquia de Santiago de la villa de Alcazaren, en aquel obispado: para otra Canongía de la colegial de Valpue.sta, diócesis de Burgos, vacante por muerte de D. Manuel</t>
  </si>
  <si>
    <t>Sanz, Joseph</t>
  </si>
  <si>
    <t>Joseph Sanz</t>
  </si>
  <si>
    <t>su persona se la entregará dicho legado , y de lo contrario le parará el perjuicio que haya lugar. Don Joseph Sanz, Teniente Coronel graduado y Capitán agregado que fué del regimiento de Pavía, natural de Alicante en el reyro de Valencia, alcanza en los ajustes que se le han formado en este cu</t>
  </si>
  <si>
    <t>Saravia Villota, Ramón</t>
  </si>
  <si>
    <t>Ramón Saravia Villota</t>
  </si>
  <si>
    <t>irigirse en esta corte á los Sres. Varanda é hijo, del comercio, calle Imperial, y.en dicha villa á D. Ramón Saravia Villota, presbítero, hijo y apoderado de la actual patrona, quien con los Sres. Rector del Cabildo eclesiástico, Alcalde por el estado noble y Prepósito de la congregación de S. Felipe Ne</t>
  </si>
  <si>
    <t>Saravia y Zuazo, Francisco</t>
  </si>
  <si>
    <t>Francisco Saravia y Zuazo</t>
  </si>
  <si>
    <t>nez, D. Agustín Salazar y Allendelagua, Don Juan Pusterla y Lerin, D. Pedro del Barco y la Cendeja, D. Francisco Saravia y Zuazo, D. Manuel Cebriaa y Castro, D. Antonio Esparza Go* méz de Bonilla, D. Vicente Cabeza de Vaca y D. Andrés Amat y Toftosa; habiendo igualmente nombrado S. M. Subtenientes del mismo</t>
  </si>
  <si>
    <t>Saravia, Fernando</t>
  </si>
  <si>
    <t>Fernando Saravia</t>
  </si>
  <si>
    <t>primero al Capital* segundo D. Ramón Pola; á Capitanes segundos á los Tenientes D. Joseph Aguílar, D. Fernando Saravia y D. Joseph Diez Texada, y á Te-r nientes de Maestranza á los Subtenientes D. Joseph Hidalgo, D. Luis Sotomayor y D. Juan Calixto de Ojéda. El Rey se ha servido nombrar para la plaza</t>
  </si>
  <si>
    <t>Sarmiento, Luis Fernando</t>
  </si>
  <si>
    <t>Luis Fernando Sarmiento</t>
  </si>
  <si>
    <t>o del Campo y Rivas, á D. Martin Gil y Garcés, Racionero mas antiguo de ella; y para esta resulta á D. Luis Fernando Sarmiento , Cura de Ocamonte , en dicho arzobispado. ' También se ha servido S. M. conferir la Tenencia de Rey de la plaza de Cuba al Brigadier D. Juan Gemmir de Lleonart, Coronel del regim</t>
  </si>
  <si>
    <t>Sarrasin</t>
  </si>
  <si>
    <t>Sartori, Segismundo</t>
  </si>
  <si>
    <t>Segismundo Sartori</t>
  </si>
  <si>
    <t>el Rey promover á Capitán al Teniente D. Joseph Carvallo; á Teniente de granaderos al de fusileros D. Segismundo Sartori; á Tenientes á los Subtenientes de granaderos D, Antonio Ortega y D. Joseph Aristizabal; á Subtenientes de granaderos á los de fusileros D. Nicolás Pimpin y D. Jpseph Lisola; á Su</t>
  </si>
  <si>
    <t>Saurau, Conde</t>
  </si>
  <si>
    <t>Conde Saurau</t>
  </si>
  <si>
    <t>de que el Emperador de Rusia diese su respuesta. Viena 12 de Diciembre. S e tiene por cierto que el Conde Saurau no volverá á Petersburgo. Aun no está nombrado su sucesor, y créese que sea el Príncipe Estsrhazy.</t>
  </si>
  <si>
    <t>Sauri, Joseph</t>
  </si>
  <si>
    <t>Joseph Sauri</t>
  </si>
  <si>
    <t>l de Neyra , de granaderos , y Don Juan Joseph Ximenez^ á Subteniente de granaderos al de fusileros Don Joseph Sauri, y á Subtenientes de bandera á los Cadetes D. Francisco María Gallo y D. Antonio Joseph Muñoz. Quien quisiere hacer mejora á dos tierras sitas en el término del lugar de Alcorcon</t>
  </si>
  <si>
    <t>Savariego, Domingo</t>
  </si>
  <si>
    <t>Domingo Savariego</t>
  </si>
  <si>
    <t>Sebastian de Ozta y Cotera, D. Ignacio Millan y D. Francisco Lozada, y á Portaguiones á los Cadetes D. Domingo Savariego, y D. loaquin Náxera y al Sargento D. Francisco Rodríguez.</t>
  </si>
  <si>
    <t>Saveli Spínola, Carlos</t>
  </si>
  <si>
    <t>Carlos Saveli Spínola</t>
  </si>
  <si>
    <t>Beneficio de la parroquial de la villa del Carpió, en la diócesis de Córdoba, vacante por muerte de D. Cárlos Saveli Spínola, á D. Félix Domínguez Torrado; y para otro patrimonial de la parroquia de S. Pedro de la villa de Puente la Reyna, obispado de Pamplona, vacante por fallecimiento de D. Manuel de</t>
  </si>
  <si>
    <t>Savino de Ocaña</t>
  </si>
  <si>
    <t>r de Lagunarota, dió* cesis de, Lérida , vacante por fallecimiento de D. Buenaventura FonciLlas^ :á D. Savino de Ocaña. En el regimiento Suizo de Schmid se ha servido el Rey conceder Iá -Tenencia Coronela al Sargento mayor del mismo cuerpo D. Felipe SchwaJler: eiv el de Rutiman Compañía de granade</t>
  </si>
  <si>
    <t>Saviñon, Antonio</t>
  </si>
  <si>
    <t>Antonio Saviñon</t>
  </si>
  <si>
    <t>l: tragedia en tres actos y en verso por el ciud. Le Gouvé; traducida del francés al castellano por D. Antonio Saviñon, y representada en el teatro de los caños del Peral. Esta traducción es enteramente distinta de la que se publicó en 24 de este mes, por Doña Magdalena Fernandez y Figueró. Se hal</t>
  </si>
  <si>
    <t>Scafin, Francisco</t>
  </si>
  <si>
    <t>Francisco Scafin</t>
  </si>
  <si>
    <t>rona también á Capitán segundo al Teniente D. Joaquín Cundaro, y á Subteniente de bandera al Cadete D. Francisco Scafin. En América. El Rey se ha servido promover en el esquadron de Dragones' de Luzón, en Filipinas, á Teniente al Alférez D. Miguel del Thoso; á Alférez al Portaguión D. Joseph Jordán</t>
  </si>
  <si>
    <t>Scarlata Callimachi, Príncipe</t>
  </si>
  <si>
    <t>Príncipe Scarlata Callimachi</t>
  </si>
  <si>
    <t>ndier, primer Secretario de la embaxada, fué á notificar á la Puerta la llegada del Embaxador, y el Príncipe Scarlata Callimachi, primer Dragomán de ía Puerta, lo presentó sucesivamente al Ministro del Interior , al Gran Visir, ai Reis-Effendi y al Capitán Baxá, á quienes expresó en los términos siguientes</t>
  </si>
  <si>
    <t>Scheel</t>
  </si>
  <si>
    <t>nado á sus enfermos darse friegas con aceyte; y de esta forma ha puesto en práctica los consejos de Mr. Scheel, de Copenhague, de emplear aceyte, como específico, para los apestados. De 8 soldados de la guarnición de Santa Cruz, á quienes aplicó este remedio, 6 se vieron libres enteramente</t>
  </si>
  <si>
    <t>Scheífaner</t>
  </si>
  <si>
    <t>grandes cosas, yadquiidó la celebridad de que se halla en posesión. El Rey de Suecia ha encargado á Mr. Scheífaner que haga el busto de S. M., y los de la Reyna y de la Princesa. Se debe á este célebre artista de Stuttgard el soberbio monumento erigido en honor del difunto Príncipe hereditario</t>
  </si>
  <si>
    <t>Scheper, Cayetano</t>
  </si>
  <si>
    <t>Cayetano Scheper</t>
  </si>
  <si>
    <t>añolas D. Pedro Pablo Herce y Aguilera, y D. Rafael Alcedo y Codallos: á Teniente en el de Aragón á D. Cayetano Scheper, agregado en esta clase al de Ñapóles: á Capitán y segundo Subteniente en el fixo de Ceuta al primer Teniente de granaderos D. Manuel Ordoñez, y al Cadete D. Angel Martínez ; y á</t>
  </si>
  <si>
    <t>Schimmelpenninch</t>
  </si>
  <si>
    <t>factoria, pidió los pasaportes conforme se le prevenía por su corte. -Nuestro Embaxador en Londres, Mr. Schimmelpenninch , no tardará en llegar aquí, pues se le ha enviado orden para que se retire, por un barco pescador de Scheveningue, que salid en calidad de parlamentarlo para Xdndres. . Liorna i.</t>
  </si>
  <si>
    <t>Schimmelpenninck</t>
  </si>
  <si>
    <t>presentaron sus credenciales Haled-Eífendi, Embaxador de la Sublime Puerta, el ciud. Schimmelpenninck, Émbaxador de la República bátava, Mr. de Maillardoz, Enviado extraordinario de la Dieta helvética, Mr. de Mar-sburgo, Ministro plenipotenciario del Landgrave</t>
  </si>
  <si>
    <t>al modo los caminos, que ios faltan muchos correos de Francia y del Imperio. £1 ciud. Schimmelpenninck, Embaxador de la República bátava en París, ha remitido al gobierno de estado la minuta del reglamento para las tropas francesas que se hallan en esta Repúblic</t>
  </si>
  <si>
    <t>Schimmelpennink</t>
  </si>
  <si>
    <t>l vigor posible. __ Se nombró una.comisión para informar acerca del mensage. El ciud. Schimmelpennink , que estaba de Embaxador en Londres, lia vuelto ya con su familia. Friburgo 11 de Junio. S . A. S. el Margrave de Badén na dado parte á S. E. el Landamman de</t>
  </si>
  <si>
    <t>Schiner, General</t>
  </si>
  <si>
    <t>General Schiner</t>
  </si>
  <si>
    <t>madas mis disposiciones para desalojarlo en la mañana siguiente, la segunda división mandada por el General Schiner, la de caballería á las órdenes del General Nansouty, recibiéron orden de ir sobre Goldenstedt, forzar el paso de Plunte, y dirigirse hacia Suhlingen, para'cortar todo lo que pudi</t>
  </si>
  <si>
    <t>Schultz</t>
  </si>
  <si>
    <t>sidiendo alternativamente en Praga y Buda, miéntras se construye eL palacio que ha de reedificarse. Mr. Schultz, de Francfort, hábil pintor de paisages, ha recorrido de nuevo este año las riberas del R'hin desde Maguncia hasta Bonn, sacando excelentes dibuxos de los sitios mas pintorescos.</t>
  </si>
  <si>
    <t>Schwager, Antonio</t>
  </si>
  <si>
    <t>Antonio Schwager</t>
  </si>
  <si>
    <t>bién ha conferido S. M. grado de Capitán de infantería al Ayudante del regimiento Suizo de Ruttiman D. Antonio Schwager. Asimismo se'ha dignado S. M. conferir Capellanía en el regimiento de infantería de Navarra al presbítero D. Manuel Francisco García Martínez.</t>
  </si>
  <si>
    <t>Schwager, Gaspar Antonio</t>
  </si>
  <si>
    <t>Gaspar Antonio Schwager</t>
  </si>
  <si>
    <t>del propio cuerpo D. Francisco Xavier Dempffle ; el de Ayudante en el mismo regimiento al Teniente D. Gaspar Antonio Schwager; y Subtenencias de granaderos en el de Courten á los Subtenientes de él D. Antonio Bonvin y D. Juan Pedro Satler. S. M. ha conferido el empleo de Coronel del regimiento provincial</t>
  </si>
  <si>
    <t>SchwaJler, Felipe</t>
  </si>
  <si>
    <t>Felipe SchwaJler</t>
  </si>
  <si>
    <t>zo de Schmid se ha servido el Rey conceder Iá -Tenencia Coronela al Sargento mayor del mismo cuerpo D. Felipe SchwaJler: eiv el de Rutiman Compañía de granaderos al primero de fusileros X&gt;. Beda Conde deThurn; empleos de Capitanes primeros á los segundos D. Juan Nepoinuceno Schwager y D. Gaspar Neí</t>
  </si>
  <si>
    <t>Schwiter, Pablo</t>
  </si>
  <si>
    <t>Pablo Schwiter</t>
  </si>
  <si>
    <t>do S. M. á Capitán primero de fusileros al Capitán de granaderos , gra^ duado de. Teniente Coronel, D. Pablo Schwiter; á Capitán de granaderos al Capitán primero agregado D; Julio Christeu, y ¿ Subteniente de granaderos ai de fusileros D. Cirios Helier. En América, El Rey7 se ha servido nombrar p</t>
  </si>
  <si>
    <t>Sclaultz</t>
  </si>
  <si>
    <t>, cuya extrema sencillez merece la atención de los conocedores. Dicen los ancianos del recinto, que Mr. Sclaultz es el único pintor que ha llegado á aquel santuario. Los tesoros de las artes descubiertos allí por él, serán para sus contemporáneos una verdadera conquista. Las ruinas de un fuert</t>
  </si>
  <si>
    <t>Scott</t>
  </si>
  <si>
    <t>elto salir de Constantinopla, é irse á pasar el invierno ai lugar de Bujecdere, á 4 millas de aquí. Mr. Scott, médico ingles, ha propagado en Grecia la inoculación de la vacuna durante su viage en aquel país. Los habitantes de Atenas muestran tal inclinación á este preservativo, que ellos</t>
  </si>
  <si>
    <t>Sebastián, Coronel</t>
  </si>
  <si>
    <t>Coronel Sebastián</t>
  </si>
  <si>
    <t>ue estaba advertido de antemano, dio tales disposiciones, que no pudo verificarse aquel intento. El Coronel Sebastian! ha tomado el título de Enviado extraordinario de la República francesa en todo el Levante. Petersburgo de Diciembre. E 1 Emperador ha señalado al Rey de Cerdeña una pensión anual</t>
  </si>
  <si>
    <t>eben ser actualmente notorias á todo el mundo en vista de la publicación oficial de la relación del Coronel Sebastian!; de la conducta de este oficial y de los otros agentes franceses en Egipto, Siria, y en las islas Jónicas, y aun también en vista de la genuina contestación del primer Cónsul mis</t>
  </si>
  <si>
    <t>ntes antes que se les pudiese obligar á la ejecución pronta del tratado.__ En quanto al informe del Coronel Sebastian*, pu-r blicado en el diario oficial, y del que se infiere que la Francia tiene el deseo de apoderarse algún dia del Egipto para establecer allí una colonia; ¿es esta la primera ve</t>
  </si>
  <si>
    <t>Sebastiani</t>
  </si>
  <si>
    <t>a, buque francés de 44 cañones, ha; llegado al puerto de Alexandría,y que en dicho buque se hallaba Mr. Sebastiani, Enviado de Francia. En la Cámara de los Pares el 27 de Diciembre se propuso la segunda lectura del bilí que suspende durante el año de 1803 las causas principiadas en virtud de c</t>
  </si>
  <si>
    <t>Sebástiani, Coronel</t>
  </si>
  <si>
    <t>Coronel Sebástiani</t>
  </si>
  <si>
    <t>lesas ; pero que la Gran Bretaña exige de la Puerta se le reintegren los gastos que ha sufrido.__El Coronel Sebástiani , después de haber sido reconocido en el Cayro en calidad de Ministro plenipotenciario en todo el Levante, se ha puesto en camino para Suez.— El ciud. Ruffin, Encargado de Negocio</t>
  </si>
  <si>
    <t>Sebastiani, Coronel</t>
  </si>
  <si>
    <t>Coronel Sebastiani</t>
  </si>
  <si>
    <t>age determinado, pudiendo venir á verlas los fabricantes, y juzgar por sí mismos de su utilidad. El Coronel Sebastiani, que se halla en París, de vuelta de su viage,ha hecho al primer Cónsul el informe siguiente. El 16 de Setiembre de t8o2 me embarqué en Tolon á bordo de la Cornelia. El 30 del mis</t>
  </si>
  <si>
    <t>las resultará una economía de 30 por 100 en los gastos de fabricación. Continuación del informe del Coronel Sebastiani. El 14 de Noviembre lleg6 la fragata á Bogar deDamieta, é inmediatamente salí para Acre, adonde llegué el 19. El 20 por la mañana envié los ciudadanos Jauberty Lagrange con una ca</t>
  </si>
  <si>
    <t>postólico; y debe salir de Roma diez ó doce dias después del primer correo. Concluye el informe del Coronel Sebastiani. En Acre vi al Procurador de la Propaganda y al de la Tierra-Santa. Al primero , como también al Comisario de las Siete-Islas, debo las noticias exactas del estado actual de la Si</t>
  </si>
  <si>
    <t>este pais. Esta impostura fue la que dio motivo al error de algunos diaristas que publicáron que el Coronel Sebastiani se encontraba en la Turquía europea, en ocasión que estaba en Egipto. El gobierno francés, informado del caso, hizo requerir á la Puerta para que diese orden de arrestar á este em</t>
  </si>
  <si>
    <t>rias, que &gt;ban sido hechas por el.góbierno francés ; á* su corona y á su pueblo--- -La relación del Coronel Sebastiani contiene las mas infundadas insinuaciones y cargos contra el gobierno de S. M.; contra el oficial que mandaba sus fuerzas en Egipto, y contra el exercito británico existente en aq</t>
  </si>
  <si>
    <t>rían los;Ministros firmado el tratado de paz. Entra inmediatamente ení el exámen de la telacion del Coronel Sebastiani, la que califica de infame, llena de baxas mentiras, y de los libelos mas groseros. Continúa diciendo que el Ministro Talleyrand había respondido que- el objeto de: aquella comisi</t>
  </si>
  <si>
    <t>l Píamonte á su territorio, con su intento dé apoderarse del Egipto , manifestado en el informe del Coronel Sebastiani, y con ía protección política concedida á las Siete-Islas (prosigue así): ¿No prueba todo esto que la conducta de la Francia respecto del Egipto, conducta que el primer Cónsul no</t>
  </si>
  <si>
    <t>Sebastiani-----El, Coronel</t>
  </si>
  <si>
    <t>Coronel Sebastiani-----El</t>
  </si>
  <si>
    <t>rcios 943 ; el de reconocimientos de hijos 288, y el de adopciones 15. Continuación del informe del Coronel Sebastiani-----El 23 pasé á Faoné, en donde vi al Comandante de la plaza, al Cadi, y á los Cheikes, quienes igualmente que todas las personas con quien traté, me manifestaron su afecto al primer Có</t>
  </si>
  <si>
    <t>Secretan</t>
  </si>
  <si>
    <t>de luego á la Dieta. Se esforzó lo posible fundándose en ios decretos de propiedad de los berneses. Mr. Secretan, diputado del cantón de Vaud, le respondió extensamente, y le demostró que solo se trataba de un caso particular, esto es, de un derecho puramente feudal, abolido sin indemnizació</t>
  </si>
  <si>
    <t>Segovia, Joseph María</t>
  </si>
  <si>
    <t>Joseph María Segovia</t>
  </si>
  <si>
    <t>s de Jaén, Sigiienza, Burgos, Ecija, Bujalance, Plasencia'yXoria, á D. Joseph de la Peña y Benítez, D. Joseph María Segovia, D. Serafín María López, D. Andrés Martin y Galindez, D. Diego Manuel de Oca y Armijo, D. Antonio Fernandez Gamonal y D. Fernando Velasco y Cartillo. ..... En América. S. M. se ha</t>
  </si>
  <si>
    <t>Seguin</t>
  </si>
  <si>
    <t>nga, en toda la campaña próxima, un excelente mapa militar de todas las posesiones anglo-a'. manas. Mr. Seguin, individuo del Instituto, ha leído estos dias á la clase de</t>
  </si>
  <si>
    <t>Segura, Fernando María</t>
  </si>
  <si>
    <t>Fernando María Segura</t>
  </si>
  <si>
    <t>ciudad de Alfaro, vacante por promoción de D. Tomas María Mayor á una Ración de aquella colegial, á D. Fernando María Segura. S. M. se ha servido promover á Teniente Coronel del regimiento de infantería de Ultonia á D. Carlos Fitzgerald, Comandante del tercer batallón del de Irlanda: á Teniente en el de</t>
  </si>
  <si>
    <t>Segura, Juan Antonio</t>
  </si>
  <si>
    <t>Juan Antonio Segura</t>
  </si>
  <si>
    <t>a de Pozo Alcon, en la diócesis de Toledo, vacante por renuncia de D. Alexandro Bernardo Beltran, á D. Juan Antonio Segura: para otro Beneficio de Castro y Espejo, vacante en ei obispado de Córdoba por fallecimiento de D. Juan Antonio del Peral, á D. Gabriel Girón y Coca, con precisa y personal reside</t>
  </si>
  <si>
    <t>Selma, Fernando</t>
  </si>
  <si>
    <t>Fernando Selma</t>
  </si>
  <si>
    <t>ompañeros, á 10 reales cada una............. 20. ia. El retrato de Fernando Magallanes, grabado por D. Fernando Selma...................................................................... a. 2.</t>
  </si>
  <si>
    <t>Semonyille</t>
  </si>
  <si>
    <t>do á la Asamblea el Sercretario de Estado de Relaciones exteriores una nota del ciud. Semonyille, Embaxador de la República francesa cerca de la bátava, con fecha de 8 de Junio, en la que continúa reiterando en nombre de su gobierno la solicitud del arrest</t>
  </si>
  <si>
    <t>Senent, Antonio</t>
  </si>
  <si>
    <t>Antonio Senent</t>
  </si>
  <si>
    <t>o de infantería de Soria se ha servido promover el Rey á Subteniente de bandera al Sargento primero D. Antonio Senent: en el de Córdoba á Subteniente de bandera al Cadete del de Reales Guardias Españolas D. Pedro Cárrillo de Albornoz: en el primer batallón de Voluntarios de Aragón á Capitán prime</t>
  </si>
  <si>
    <t>Seoane, Antonio</t>
  </si>
  <si>
    <t>Antonio Seoane</t>
  </si>
  <si>
    <t>servido nombrar para la plaza de Oidor de la Chanci— Hería de Valladolid, vacante por jubilación de D. Antonio Seoane, á D. Manuel de León Santos de S. Pedro; y para la de Juez mayor de Vizcaya., que este &lt; Reñía en ella, á D. Manuel de Estrada. Igualmente ha nombrado S. M. para el Corregimiento</t>
  </si>
  <si>
    <t>Sepúlveda, Francisco</t>
  </si>
  <si>
    <t>Francisco Sepúlveda</t>
  </si>
  <si>
    <t>a servido' promover á Ayudante en el regimiento de car zadores de Saguqto á £). Francisco Sepúlveda, Teniente del propio cuerpo; y en el de húsares Españoles al Capitán D. Vicente Bracamente, Teniente del de húsares de OÜvencia. En atención á los buenos servicios de D. Clemente Rodríguez.</t>
  </si>
  <si>
    <t>Serafín María López</t>
  </si>
  <si>
    <t>gos, Ecija, Bujalance, Plasencia'yXoria, á D. Joseph de la Peña y Benítez, D. Joseph María Segovia, D. Serafín María López, D. Andrés Martin y Galindez, D. Diego Manuel de Oca y Armijo, D. Antonio Fernandez Gamonal y D. Fernando Velasco y Cartillo. ..... En América. S. M. se ha dignado promover á Alfé</t>
  </si>
  <si>
    <t>Serapio de Varona</t>
  </si>
  <si>
    <t>usileros D. Ignacio de Varona; á Capitanes á los Subtenientes D. Agustin de Velasco, de granaderos, D. Serapio de Varona, D. Pedro Batista y D. Ramón Gelabert, y á Subteniente de granaderos al de fusileros D. Domingo de Pina. También ha conferido S. M. ios empleos de Capitán, Teniente, Subteniente y</t>
  </si>
  <si>
    <t>Sergio de Romanzow, Conde</t>
  </si>
  <si>
    <t>Conde Sergio de Romanzow</t>
  </si>
  <si>
    <t>cio considerable: y su comercio en el mar Báltico, cada dia se hace mas floreciente. A petición del Conde Sergio de Romanzow ha expedido et Emperador el edicto, que conservando ios derechos dominicales en su primitiva</t>
  </si>
  <si>
    <t>social á la mas numerosa y útil de las clases. El Emperador lia tenido por conveniente escribir al Conde Sergio de Romanzow la carta siguiente: ,,He tenido la mayor satisfacción en .concederos lo que me habéis pedido, y no se me. ha ocultado que los motivos que os han movido eran aquellos movimientos gene</t>
  </si>
  <si>
    <t>Seró, Manuel</t>
  </si>
  <si>
    <t>Manuel Seró</t>
  </si>
  <si>
    <t>primero de la primera compañía fixa de Ceuta á D. JuanTerres; á Capitán segundo de la de Mallorca á D. Manuel Seró; á Teniente de esta á D. Matías Barguilla, y á Subtenientes de la propia compañía á fot Sargentos D. Francisco Creuet y D. Joaquín Escandon. Habiéndose también dignado S. M. confe</t>
  </si>
  <si>
    <t>Serrano Manzano, Joaquín</t>
  </si>
  <si>
    <t>Joaquín Serrano Manzano</t>
  </si>
  <si>
    <t>duducído al francés por el Dr. Launay, y libremente al castellano por el Dr. D. Joaquín Serrano Manzano, Secretario perpetuo del Real colegio de medicina de Madrid &amp;c. Este poema j que se puede tener por un código de medicina preservativo, es muy conocido y estimado. Se hallará en las librerías</t>
  </si>
  <si>
    <t>Serrano y Manzano, Joaquín</t>
  </si>
  <si>
    <t>Joaquín Serrano y Manzano</t>
  </si>
  <si>
    <t>ré la experiencia y el sistema de Brown, por el Consejero Weykard: publicados en español por el Dr.’D. Joaquín Serrano y Manzano: tomo 3.0 y ultimo del Manual peculiar ó curso de medicina práctica : contiene un discurso preliminar sobre la naturaleza medicatriz; la descripción , causas y curación del espasm</t>
  </si>
  <si>
    <t>Serrano, Antonio</t>
  </si>
  <si>
    <t>Antonio Serrano</t>
  </si>
  <si>
    <t>ernández Bello, electo para el expresado de Riobamba. . ■. ) Asimismo se ha servido S. M. nombrar á D. Antonio Serrano, Cirujano de la clase de segundos de la Real armada, para la plaza de Catedrático Director de Anatomía y Cirujano mayor del hospital de naturales de México, por fallecimiento de D</t>
  </si>
  <si>
    <t>Serrano, Diego</t>
  </si>
  <si>
    <t>Diego Serrano</t>
  </si>
  <si>
    <t>tro: Tenencias en los de Mondoñedo, Ronda y Cuenca á los Subtenientes D. Antonio Losada y Quiroga , D. Diego Serrano y D. Joseph Henriquez, y al Teniente reformado D. Leonardo Antonio de Mena: las Subtenencias de granaderos de los de Córdoba, Truxillo y Cuenca , á los Subtenientes de fusileros í&gt;. I</t>
  </si>
  <si>
    <t>Serrano, Joseph</t>
  </si>
  <si>
    <t>Joseph Serrano</t>
  </si>
  <si>
    <t>eficio patrimonial de la parroquial de la villa de Sadaba, diócesis de Jaca , vacante por muerte de D. Joseph Serrano, á D. Sebastian Laborda: para otro Beneficio de la parroquial de Falcét, diócesis de Tarragona, vacante por fallecimiento ae D. Magín Puig, á D. Pedro Caíala: para la Prestamera d</t>
  </si>
  <si>
    <t>Serras, General</t>
  </si>
  <si>
    <t>General Serras</t>
  </si>
  <si>
    <t>atallón de tropas francesas á esta ciudad para permanecer en ella de guarnición, envió diputados al General Serras, representándole que la venida de estas tropas podría dar motivo á nuevos alborotos; á lo que el General les contestó que la mejor representación que podían hacer era obedecer. En</t>
  </si>
  <si>
    <t>sita de ceremonia á todos ios Embaxadores y Ministros extrangeros, quienes se la han pa-^ .gado. El General Serras ha ido á Lausana, donde sentará su quartel general. El ciud. Lauther ha sido comisionado para tomar posesión del Frikthal, como de un cantón separado de la República helvética. Es</t>
  </si>
  <si>
    <t>a repartición del impuesto extraordinario para la guerra, decretado últimamente por el Senado. ■ El General Serras na llegado á Berna , donde se propone informar circunstanciadamente al General en xefe, acerca del estado actual de los cantones orientales que ha recorrido de orden superior. El</t>
  </si>
  <si>
    <t>s turbulencias de Werdember antes de que llegasen las tropas francesas destacadas al intento por el General Serras._ El Capitán Duguet ha sido enviado á Lausana y Morgues á cerrar y sehar los depósitos de armas, y ya ha evacuado su comisión. Los ciuda</t>
  </si>
  <si>
    <t>ias posteriores sobre el particular, para salir de la incertidumbre. .Basilea i.° de Setiembre. E 1 General Serras ha vuelto de Ginebra á.Ériburgo , y se asegura, que irá á S. Gall, en donde se halla sentado su quarteLgeneral de algún^tiempo á esta parte. - * Los diferentes partidos que hay au</t>
  </si>
  <si>
    <t>Serva, Antonio</t>
  </si>
  <si>
    <t>Antonio Serva</t>
  </si>
  <si>
    <t>ación de todos los Santos en la catedral de Gerona, vacante por fallecimiento de D. Pedro Mailol, á D. Antonio Serva-, para el Beneficio de la parroquia de Tuque, en la diócesis de Córdoba, vacante por muerte de D. Antonio Motezuma y Roxas, á D. Manuel María de Tejada y Romero ; y para un Benefic</t>
  </si>
  <si>
    <t>Servent, Gerónimo</t>
  </si>
  <si>
    <t>Gerónimo Servent</t>
  </si>
  <si>
    <t>rregimiento de letras de la ciudad de Fraga á D. Ignacio Luzan: para el de la villa de Onteniente á D. Gerónimo Servent: para la Alcaidía mayor de la ciudad de Jaca 2 D. Manuel Becerril y Valero: para la de Ciudad-Real á D. Valentín Melendo: para la de Cartagena á D. Manuel Saiz de Villegas: para u</t>
  </si>
  <si>
    <t>Servidor, Domingo</t>
  </si>
  <si>
    <t>Domingo Servidor</t>
  </si>
  <si>
    <t>emostración de afecto á favor de dichos dos sugetos , premiando ai primero con la excelente obra de D. Domingo Servidor!, y al segundo con ^1 Diccionario de la Real academia española, cuyos premios recibiéron \de mano del protector presidente. Se concluyó la junta con un elogio á nuestros augustos</t>
  </si>
  <si>
    <t>Serxa, Esteban</t>
  </si>
  <si>
    <t>Esteban Serxa</t>
  </si>
  <si>
    <t>a parroquia de Santa María de Caldas de Mombuy, diócesis de Barcelona, vacante por fallecimiento de D. Esteban Serxa, á D. Joseph Brichfeus. En la Compañía Española del Real cuerpo de Guardias de Corps ha promovido el Rey á Exento de número al Supernumerario Marques de Palacios; á Supernumerario</t>
  </si>
  <si>
    <t>Setien, Juan Antonio</t>
  </si>
  <si>
    <t>Juan Antonio Setien</t>
  </si>
  <si>
    <t>oso á nuestra nación. En la gazeta núm. 55 de 8 de Julio de 1796 se anunció al público que el socio D. Juan Antonio Setien habia puesto en la tesorería de la Sociedad , dos onzas de oro para la persona que, en una memoria ó discurso, persuadiese mejor las utilidades que producían en esta corte las dip</t>
  </si>
  <si>
    <t>Severo Aguirre</t>
  </si>
  <si>
    <t>ontinuación y suplemento al Prontuario alfabético y cronológico por orden de materias que dio á luz D. Severo Aguirre , con todas las Reales cédulas y demas Reales resoluciones no recopiladas, expedidas en el año pasado de 1802 y algunas otras anteriores, dispuesto siguiendo el plan del autor por</t>
  </si>
  <si>
    <t>Severo Andriani</t>
  </si>
  <si>
    <t>E 1 Rey se ha servido nombrar para una Canongía de la catedral de Gerona, vacante por promoción de D. Severo Andriani á otra de la de Huesca, á D. Joseph Palios y Pujol; para la Dignidad de Prior .de Lastiesas , Oficio regular del Real monasterio de S. Juan de la Peña de la congregación benedicti</t>
  </si>
  <si>
    <t>Severo Menaza</t>
  </si>
  <si>
    <t>al Sargento primero D. Joseph de Borges: en el de Voluntarios de Castilla á Teniente al Subteniente D. Severo Menaza: en el de Voluntarios de la Corona á Teniente al Subteniente de granaderos D. Manuel Laguna; y en el batallón de Voluntarios de Cataluña á primer Ayudante al Capitán segundo D. Fr</t>
  </si>
  <si>
    <t>Sheridam</t>
  </si>
  <si>
    <t>s leyes relativas al comercio, y á- la situación geográfica de Malta que se reputa puerto de Europa—Mr. Sheridam, que había indicado que se pidiesen los papeles relativos á los negocios del Carnate, volvió á hablar de este asunto, proponiendo que se suplicase á S. M. que mandase entregar á l</t>
  </si>
  <si>
    <t>Enero de 1803 , á fin de que S. A. R. el Príncipe de Gales pueda mantener la dignidad de su clase. Mr. Sheridam manifestó sus deseos de que S. A. R. se mantuviese con el decoro que le correspondía; pero indicó que el voto propuesto á la Cámara no llenaba el objeto principal de que S. A. R.</t>
  </si>
  <si>
    <t>con justicia, .siempre que SUS; servicióos fuesen necesarias, ¡para la seguridad de la patria. , ,,Mr. Sheridam yplyió á hacer otro largo discurso } en el &lt;jual rebatió,</t>
  </si>
  <si>
    <t>Sheridan</t>
  </si>
  <si>
    <t>a Irlanda, durante el año de 1803.__ Varios vocales habláron sobre esta materia en pro y en contra. Mr. Sheridan hizo un discurso que duró 5 quartos de hora. ,,Confieso, dixo , que hay un punto sobre el qual parece que están todos acordes , y es que nos hailamosen jin momento de crisis , y p</t>
  </si>
  <si>
    <t>buenos soldados, y que semejante distinción pondría necesariamente en peligro la defensa del pais.” Mr. Sheridan manifestó su admiración al ver las ideas que el honorable miembro que acababa de hablar tenia de los papeles públicos, pues no podía ocultársele que la libertad de la prensa era u</t>
  </si>
  <si>
    <t>, con ún dedal lleno de agua á apagar unas llamas que él mismo habia avivado tan industriosamente.” Mr. Sheridan dixo que no podía menos de manifestar su gratitud á Mr. Windham por el modo con que le habia cumplimentado por la parte que tuvo en encender el fuego-en las quatro partes del glob</t>
  </si>
  <si>
    <t>ereciese atención particular. En el mismo caso se halló ayer la primera, pero no la segunda, porque Mr. Sheridan, hizo la propuesta que ya tenia ofrecida , de dar gracias á los •voluntarios del fleyno-Unido, por el ardor, espíritu y patriotismo que habian manifestado en unaocasion tan ardua</t>
  </si>
  <si>
    <t>con mas valor y firmeza el fuego de una batería, que las bufonadas de los expectadores.__ Continua Mr. Sheridan diciendo por lo respectivo á la subscripción del fondo patriótico que habían empezado á formar ios comerciantes de la ciudad de Londres, que aunque en la lista de subscriptores no</t>
  </si>
  <si>
    <t>Shimmelpennink</t>
  </si>
  <si>
    <t>onde de Suffolk, y se desestimó. Haya c&gt; de Agosto. S e halla en esta ciudad el ciud. Shimmelpennink, quien tiene freqíientes conferencias con el gobierno y con el Ministro de Estado, y el xefe del Comisariato de las tropas francesas ha tenido una larga confer</t>
  </si>
  <si>
    <t>Sidney Smith</t>
  </si>
  <si>
    <t>, á desviar el peligro, á manifestar nuestro poder, y ponerla en un estado que no tenga que temer.” Mr. Sidney Smith dixo: que extrañaba hubiese diversidad de opiniones sobre el voto propuesto á la Cámara ; añadiendo , que si se necesitaba poner la marina en un pie respetable, no solo eran menes</t>
  </si>
  <si>
    <t>Sidney-Smith</t>
  </si>
  <si>
    <t>lido de los puertos franceses de Cherburgo y S. Malo 100 buques armados en corso. Sir G. Saumarez y Sir Sidney-Smith van á mandar los cruceros establecidos sobre las costas de Francia. La esquadra del Almirante Cornwallis, que cruza delante de Brest, consiste en 14 navios de línea y 3 fragatas. El L</t>
  </si>
  <si>
    <t>Sierra, Juan Miguel</t>
  </si>
  <si>
    <t>Juan Miguel Sierra</t>
  </si>
  <si>
    <t>ta. María, S. Juan y S. Martin de la villa de Arjona, en la diócesis de Jaén, vacante por muerte de D. Juan Miguel Sierra, á D. Juan Bernabé Barrera; y para el Beneficio simple de la parroquia de Alhama, en la diócesis de Cartagena, vacante por fallecimiento de D. Francisco de Paula Sanguineto, á D.</t>
  </si>
  <si>
    <t>Silva, Pedro</t>
  </si>
  <si>
    <t>Pedro Silva</t>
  </si>
  <si>
    <t>l García y D. Manuel Urrutia, y á Subtenientes de granaderos á lo} de fusileros D. Patricio Gandía, D. Pedro Silva y D. Casimiro Estevas.' Con fecha de ió de Febrero se ha comunicado por el Ministerio de Hacienda á todos los Consulados de España la Real orden siguiente*. „ El Rey se ha servido res</t>
  </si>
  <si>
    <t>Silvestre de Torres</t>
  </si>
  <si>
    <t>Juez de bienes de difuntos de Bíienos-Ayres testimonio de los autos obrados por muerte intestada de D. Silvestre de Torres, natural de estos Reinos, cuya muerte violenta acaecida á mas de 100 leguas de distancia de población hace mas de 30 años, dio mérito á que después de la erección de aquella Audie</t>
  </si>
  <si>
    <t>Silvestre González</t>
  </si>
  <si>
    <t>lona en la de Sierra, en Oviedo en la de Acero, en Segovia en la de Alexandro, en Búrgos en casa de D. Silvestre González, Oficial mayor de correos, y en Pamplona en la de la viuda é hijos de Longas. El precio de subscripción es 2 2 rs. para Madrid por g meses ó 6 números y 44 por 6 ó 12 números, y e</t>
  </si>
  <si>
    <t>Silvestre Martínez, Manuel</t>
  </si>
  <si>
    <t>Manuel Silvestre Martínez</t>
  </si>
  <si>
    <t>a servido nombrar para una plaza de Oidor de la Audiencia de Guadalaxara, vacante por jubilación de D. Manuel Silvestre Martínez , á D. Cecilio Odoardo y Palma, Auditor dé Guerra y Teniente Gobernador de la plaza deCumaná. En la primera sesión que celebró la junta general de accionistas del</t>
  </si>
  <si>
    <t>Simpson</t>
  </si>
  <si>
    <t>a fragata americana la Filadeljia había apresado una corbeta marroquí, que inmediatamente fue preso Mr. Simpson, Cónsul de América en aquel puerto. Todos ios Cónsules de las demas potencias se juntáron, y pidiéron que Mr. Simpson fuese puesto en libertad, lo que se les concedió, pero baxo s</t>
  </si>
  <si>
    <t>Sir John Thomas Duckworth, Almirante</t>
  </si>
  <si>
    <t>Almirante Sir John Thomas Duckworth</t>
  </si>
  <si>
    <t>del Parlamento Británico, que debía verificarse-el 3 de Octubre , hasta el 3 de Noviembre. ELContra-Almirante Sir John Thomas Duckworth, Comandante de</t>
  </si>
  <si>
    <t>Sistemes, Joaquín</t>
  </si>
  <si>
    <t>Joaquín Sistemes</t>
  </si>
  <si>
    <t>ia que;queda\i vacantes., nombro á.D. Francisco Diaz Bermudo¿ Oidor de iá )Audiencia de Canarias; á D. Joaquín Sistemes, de la de Mallorca ; á D. Joseph Salvador López del Pan, de la de Asturias , y á D. Joseph Joaquín de Iriberri, Alcalde del Crimen de la misma Audiencia de la Coruña. Para las pla</t>
  </si>
  <si>
    <t>cia de Galicia á D. Joseph Oromí: para la de Oidor de la de Mallorca , vacante por igual ascenso de D. Joaquín Sistemes , á D. Joseph Varela de Seixas ; y para la plaza que resulta vacante en la Audiencia de Asturias por la promoción de D. Joseph Salvador López del Pan á otra de Oidor de la Coruña,</t>
  </si>
  <si>
    <t>Smith</t>
  </si>
  <si>
    <t>iller del Echiquier hizo un largo discurso, en el que contestó punto por punto á quanto habla dicho Mr. Smith: hizo ver que de eximir parroquias enteras de! armamento en masa, no se seguiría perjuicio alguno á la defensa de la nación, por quanto estaba persuadido que Jas ofertas de servic</t>
  </si>
  <si>
    <t>Smith, Juan</t>
  </si>
  <si>
    <t>Juan Smith</t>
  </si>
  <si>
    <t>ntagio durante toda la epidemia.” Tarragona 12 de Enero. A impulsos del Brigadier de la Real Armada D. Juan Smith, Director de la importante obra del Puerto de esta ciudad, se estableció en ella una escuela gratuita de dibuxo que mereció la aprobación del Soberano en 7 de Octubre de 1801. El</t>
  </si>
  <si>
    <t>arretas. Principios de economía política por Herrens ^Vand, traducido del francés al castellano por D. Juan Smith, Brigadier de la Real Armada: un tomo en 4.0 Véndese en la librería de Argueta y compañía, calle de la Montera, á 12 rs. en rústica y 15 en pasta. Poesías de D. Gaspar María Nava,</t>
  </si>
  <si>
    <t>Sobinas, Joseph</t>
  </si>
  <si>
    <t>Joseph Sobinas</t>
  </si>
  <si>
    <t>ara la Abadía de Castroxeriz , Dignidad de la metropolitana de Burgos, vacante por fallecimiento de Don Joseph Sobinas, al Inquisidor de Mallorca D. Juan Pascual de Churruca; y para un Beneficio del lugar de las Cabezas, en el arzobispado de Sevilla, vacante por muerte de D. Mariano de Aguilera y</t>
  </si>
  <si>
    <t>Soerensen, Capitán</t>
  </si>
  <si>
    <t>Capitán Soerensen</t>
  </si>
  <si>
    <t>lmirantazgo ingles ha principiado sus Juntas condenando dos buques dinamarqueses, á saber: el Amor, Capitán Soerensen, y la Esperanza reunida, Capitán Loewe, baxo pretexto de haber intentado violar el bloqueo del Elba. El último buque groelandés que apresáron , fue puesto en libertad, pagando los</t>
  </si>
  <si>
    <t>Soiis y Don, Juan</t>
  </si>
  <si>
    <t>Juan Soiis y Don</t>
  </si>
  <si>
    <t>spaña á Teniente al Subteniente D. Manuel Cubillas; á Subtenientes de granaderos á los de fusileros D. Juan Soiis y Don</t>
  </si>
  <si>
    <t>Soldevilla, Francisco</t>
  </si>
  <si>
    <t>Francisco Soldevilla</t>
  </si>
  <si>
    <t>ro de maestro , en estilo claro y sencillo para los jóvenes;que' se «dedican á. esta, ciencia , por D. Francisco Soldevilla. Se hallara.á .a rs. en la libreria.de Villareal, calle de las Carretas, -y , . , - ; - / ¡ rh r-’ La Moza de Cántaro: la Buscona ó el Anzuelo de Eenisa: ámbas de Lope de Vega, y</t>
  </si>
  <si>
    <t>Soler, Agustín</t>
  </si>
  <si>
    <t>Agustín Soler</t>
  </si>
  <si>
    <t>la parroquia de Villafranca del Panadés , diócesis de Barcelona, vacantes por los fallecimientos de D. Agustín Soler., D. Cayetano Torrent y D. Diego Angulo, á D. Ignacio Corts, D. Josepli Caballol y D. Eudaldo Villardeli: para un Beneficio de parentela de la catedral de Vique, baxo la invocació</t>
  </si>
  <si>
    <t>Soler, Miguel Cayetano</t>
  </si>
  <si>
    <t>Miguel Cayetano Soler</t>
  </si>
  <si>
    <t>á su instituto la junta de gobierno de la misma compañía, y ambas su Presidente nato el Excmo. Sr. D. Miguel Cayetano Soler, Secretario de Estado y del Despacho universal de Hacienda de Indias, si sus ocupaciones se lo permitiesen. Los accionistas que tuvieren 20 ó mas acciones propias deberán hacerlo</t>
  </si>
  <si>
    <t>Solves, Joseph</t>
  </si>
  <si>
    <t>Joseph Solves</t>
  </si>
  <si>
    <t>yudante al Teniente ,de granaderos i)..¡Pedro Santacilia; á Teniente de .granaderos al de fusileros D. Joseph Solves ; á Tenientes á los Subtenientes de granaderos I&gt;&gt; Manuel;Ma.i:ía'rPe.rez;, J).,Jot;gy Viilers y D. Joseph Recio; ájSubte•iíiente-s;dq.&gt;gmaa&amp;etos 4; los- BeJusilevps D. Ramón Cast</t>
  </si>
  <si>
    <t>Somalo, Joseph María</t>
  </si>
  <si>
    <t>Joseph María Somalo</t>
  </si>
  <si>
    <t>ortaguiones D. Juan Rondeau , D. Andrés Ordoñez y D. Fran- » cisco de Paula Castellanos , al Cadete D. Joseph María Somalo, y al Sargento , graduado de Alférez, D. Antonio Perez, y: á Portaguiones á ios Cadetes D. Juan-Francisco Zamudio y D. Nicolás Martínez,, y al Sargento D. Salvador Moreyra. &gt; El R</t>
  </si>
  <si>
    <t>Somoza y Losada, Joaquín</t>
  </si>
  <si>
    <t>Joaquín Somoza y Losada</t>
  </si>
  <si>
    <t>no y Torrubia , D. Isidro Alvarez de Lara, D. Ricardo de, Salcedo, I). Antonio del Hierro y Oliver, D. Joaquín Somoza y Losada , D. Joseph Eusebio de Coca y D. Diego Marín Capdevila. Por el Ministerio de Hacienda se ha comunicado con fecha de 14 de Octubre la Real orden siguiente: Al Señor Grobernador Sub</t>
  </si>
  <si>
    <t>Sonano, Joaquín</t>
  </si>
  <si>
    <t>Joaquín Sonano</t>
  </si>
  <si>
    <t>sis de Segorve, vacante por promoción de D. Francisco Ballestar á una Ración de la misma iglesia, á D. Joaquin Sonano: para otro de la de-Almoradí,, diócesis de Grihuela-, vacanre por fallecimiento de D. Francisco Xavier Sánchez, á D. Christóbal Quadrado: para otro Beneficio patrimonial de la par</t>
  </si>
  <si>
    <t>Sophta Albertina, Princesa</t>
  </si>
  <si>
    <t>Princesa Sophta Albertina</t>
  </si>
  <si>
    <t>e hereditario de Badén, serán los padrinos j y la Emperatriz de Rusia, la Duquesa de Sudermania, la Princesa Sophta Albertina y laElectriz de Baviera , serán las madrinas : el Rey, la familia Real y las demas personas de lá corte, como también las damas destinadas para asistir á la Reyna,' pasarán á la iglesi</t>
  </si>
  <si>
    <t>Sopranis, Rafael</t>
  </si>
  <si>
    <t>Rafael Sopranis</t>
  </si>
  <si>
    <t>arcía Orozco, Don Juan de Dios Carcelen, D. Rodrigo González, D. Joseph de Aulestia, D. Juan Gómez, D. Rafael Sopranis y D. Diego Bobadilla: á Subtenientes de granaderos en los de Sigiienza, Alcázar y Laredo, á los de fusileros D. Fernando Barbaza, D. Joseph Andrés Villaseñor y D. Joseph de Colina Víl</t>
  </si>
  <si>
    <t>Soto Valcarce, Vicente</t>
  </si>
  <si>
    <t>Vicente Soto Valcarce</t>
  </si>
  <si>
    <t>an Navarro, Racionero de ella: para otra Canongía de la catedral de Avila, vacante por promoción de D. Vicente Soto Valcarce á la Mi</t>
  </si>
  <si>
    <t>Soto y Vaicarce, Vicente</t>
  </si>
  <si>
    <t>Vicente Soto y Vaicarce</t>
  </si>
  <si>
    <t>de Valladolíd, vacante por fallecimiento del Sr. D. Juan Antonio Hernández Pérez de Larrea, al Sr. D. Vicente Soto y Vaicarce, Dignidad de Maestrescuela y Canónigo de la catedral de Avila. FJ Rey se ha servido nombrar para una Canongía de la catedral de Segovia, vacante por muerte de D. Joseph Eúrgos, á</t>
  </si>
  <si>
    <t>Sotomayor, Luis</t>
  </si>
  <si>
    <t>Luis Sotomayor</t>
  </si>
  <si>
    <t>ravia y D. Joseph Diez Texada, y á Te-r nientes de Maestranza á los Subtenientes D. Joseph Hidalgo, D. Luis Sotomayor y D. Juan Calixto de Ojéda. El Rey se ha servido nombrar para la plaza del Consejo Real, vacante por separación del Sr. D. Antonio Alarcon , al Sr. D. Francisco</t>
  </si>
  <si>
    <t>Spano, Carlos</t>
  </si>
  <si>
    <t>Carlos Spano</t>
  </si>
  <si>
    <t>. En el batallón de infantería fixo de la Concepción de Chile ha nombrado S. M. Capitán ai Ayudante D. Carlos Spano; Ayudante al Teniente de granaderos D. Lázaro Perez; para el empleo que este dexa al Teniente de fusileros D. Luis Garreton, y para sus resultas al Subteniente D. Henrique Lasale</t>
  </si>
  <si>
    <t>Spencer, Lord</t>
  </si>
  <si>
    <t>Lord Spencer</t>
  </si>
  <si>
    <t>vegación del mar Negro, lían sido inútiles, «asta ahora. En la Cámara alta, én la junta de ayer, el Lord Spencer dixo: qué había tres cosas que considerar en el momento presenté: lav conducta de loS Ministros, la naturaleza y número dé las fuerzas para que piden los subsidios, y finalmente e</t>
  </si>
  <si>
    <t>Spencer-Smith</t>
  </si>
  <si>
    <t>tas de Viena dicen que acaba de salir la orden para aumentar el exército austríaco con 8o® hombres. Mr. Spencer-Smith , que fué Ministro ingle* en Constantinopla, ha sido nombrado Ministro extraordinario de S. M. Británica cerca del Elector de Wurtemberg. Se han recibido en Suabia cartas de Ñapól</t>
  </si>
  <si>
    <t>Spencey, Conde</t>
  </si>
  <si>
    <t>Conde Spencey</t>
  </si>
  <si>
    <t>le. El Lord Ellemborough hizo el elogio de los Ministros , juzgándolos dignos de toda confianza. El Conde Spencey manifestó que los estimaba, conio particulares;'pero que'como Ministros no le merecían alguna confianza. El Lord Melville, aprobando en Unos puntos la conducta de los M inistros,</t>
  </si>
  <si>
    <t>Spoors</t>
  </si>
  <si>
    <t>en rasa campaña á las pretensiones de los ingleses. &lt;pT. Haya fcp de Enero* Jil ciud. Spoors há sido nombrado Presidente del gobierno de estado. Empezará á exereer sus funciones el i.°de Marzo próximo. Él Almirante Dewinter pasará á Lisboa después de d</t>
  </si>
  <si>
    <t>St, General</t>
  </si>
  <si>
    <t>General St</t>
  </si>
  <si>
    <t>rman , Inspector de caballería de dichas tropas, quedando siempre General en xefe de todas ellas el General St. Cyr. Venecia jo de Julio. E n el día 23 del corriente una fragata inglesa de 30 cañones que se hallaba en estas inmediaciones para proteger las demas embarcaciones menores de su</t>
  </si>
  <si>
    <t>Stadion</t>
  </si>
  <si>
    <t>rca del Elector Archicanciller. Se esperan con la mayor impaciencia en Ratisbona á Mr* de Hugeí y á Mr. Stadion para abrir en fin la discusión sobre los votos viriles. Los principales Ministros han adoptado provisionalmente el medio de contar los nuevos votos conferidos por el recenso gener</t>
  </si>
  <si>
    <t>Standel</t>
  </si>
  <si>
    <t>ombrado Encargado de negocios en Paris ; pero á causa de estar quebrantado de salud, le substituirá Mr. Standel, Consejero privado del Conde de Werthein. 4.a Los sueldos anuales de cada uno serán 9© florines. 5.a.Como la casa de Linange paga ya á Mr.Greuhm un sueldo considerable, se Te reba</t>
  </si>
  <si>
    <t>Stanhope</t>
  </si>
  <si>
    <t>steis que adoptaríais los medios de castigar á los que los publicaban en Inglaterra ?....... ” Aquí Mr. Stanhope refiriéndose ai mensage de S. M. manifiesta lo equivocados que se hallan ios Ministros tocante á los armamentos que se hacían en Francia y Holanda, y dice que no han presentado á</t>
  </si>
  <si>
    <t>Stanhope, Conde</t>
  </si>
  <si>
    <t>Conde Stanhope</t>
  </si>
  <si>
    <t>njii&amp;ticia. ’ (El discurso de S. A. R. fue vivamente aplaudido en toda la ^Cámara.) - - ^ ¡ 1 i CEl Conde Stanhope. „MiIores.,... Procederé en esta discusión animado del espíritu de moderación tan justamente recomendado por S. A. R. Comenzaré por examinar la naturaleza de la desavenencia de lo</t>
  </si>
  <si>
    <t>gue la discusión de la Cantara de los Pares sobre el discurso de gracias. • Por último (prosigue el Conde Stanhope) nada veo en los papeles que tengo presentes que justifique la infracción de una estipulación positiva; y quando esta se firmó, yo á ley de hombre de honor, me hubiera creido obli</t>
  </si>
  <si>
    <t>Stanhope, Lord</t>
  </si>
  <si>
    <t>Lord Stanhope</t>
  </si>
  <si>
    <t>nerla dignidad de su corona , y para asegurar y mantener los derechos é intereses de su pueblo.” £1 Lord Stanhope. „Lá comunicación de los papeles se hace mas y mas necesaria. Nuestro país no es agricultor , sino que en cierto modo subsiste de la circulación ^de.sus billetes y por su crédito;</t>
  </si>
  <si>
    <t>Stapfer</t>
  </si>
  <si>
    <t>circunstancia de que estuviese compuesta de sugetos de diferentes partidos. El ciud. Stapfer procedió el mismo dia al nombramiento de dicha diputación. .Berna 2 j de Diciembre. E 1 Senado ha recibido noticias relativas á la audiencia que la comisión de</t>
  </si>
  <si>
    <t>Steinhauser, Juan</t>
  </si>
  <si>
    <t>Juan Steinhauser</t>
  </si>
  <si>
    <t>e D. Antonio Ramón: á Ayudante del regimiento de infantería Suizo ambulante de Ruttiman al Teniente D. Juan Steinhauser; y á Capitán segundo en el de Courten al Teniente de granaderos. D. Joseph Joaquin Ferreyra. S. M. se ha servido nombrar para el Corregimiento de letras de la ciudad de Fraga á D.</t>
  </si>
  <si>
    <t>Stejnhauser, Joseph Martín</t>
  </si>
  <si>
    <t>Joseph Martín Stejnhauser</t>
  </si>
  <si>
    <t>los segundos D. Juan Nepoinuceno Schwager y D. Gaspar NeíF; ,empleo de Capitán .segundo-al Ayudante D. Joseph Martin Stejnhauser; Tenencias de fusileros á los Subtenientes de granaderos D. Jacobo Turquí, D. Xpis Pigíiat -y D. Juan Bautista Duc; Subtenencia de granaderos al de fusileros Don •Antonio Grillot,</t>
  </si>
  <si>
    <t>Stetnbach, Coronel</t>
  </si>
  <si>
    <t>Coronel Stetnbach</t>
  </si>
  <si>
    <t>stroxes. •jj» Brmélas R Octubre, jELscribért de Holanda que la leva de los mahrineros, encargada ai Coronel Stetnbach, se hace con buen éxito, sobre todo en Amsterdam , donde muchos de ellos se encontraban sin ocupación á causa de; las circunstancias. Estos reclutas formarán lá trípülaciórtdemuch</t>
  </si>
  <si>
    <t>Stevens, Capitán</t>
  </si>
  <si>
    <t>Capitán Stevens</t>
  </si>
  <si>
    <t>a Jamayca. El dia siguiente de su salida se manifestó abordo la fiebre amarilla, de que murieron el Capitán Stevens, el Comandante, los dos Tenientes, el Cirujano y su Ayudante, dos Cadetes de marina, dos contramaestres, 27 marineros y 29 soldados. El Lord Wellesley ha mandado que se distribuya</t>
  </si>
  <si>
    <t>Stewart, General</t>
  </si>
  <si>
    <t>General Stewart</t>
  </si>
  <si>
    <t>exandría aseguran que los turcos y los ingleses estan actualmente en buena armonía. La embaxada del General Stewart á Constantinopla en favor de los mamelucos , no ha-tenido buen éxito , por haberse obstinado la Puerta en negar toda condición favorable; á menos que los mamelucos consientan, com</t>
  </si>
  <si>
    <t>lararán francesas luego que se quiera-----Exército ingles en Egipto. Este exército , mandado por el General Stewart, consta de 4430 nombres, y ocupa entera y exclusivamente á Alexandría y los fuertes circunvecinos. Los turcos que estaban de, guarnición en algunos de ellos , han sido echados. El</t>
  </si>
  <si>
    <t>tardarían en embarcarse; pero se han desvanecido estas esperanzas con ia llegada de un Ayudante del General Stewart, con pliegos para el Gran Visir y el Reis-Eftendi. Después de muchas conferencias que ha tenido con estos Ministros, se ha llegado á saber que aquellas tropas no evacuarán tan pro</t>
  </si>
  <si>
    <t>onia de un navio de línea, una fragata, dos bricques y dos corbetas. El Lord Blenheim, Ayudante del General Stewart, tuvo el 25 de? mes pasado audiencia del Reis-Euendi, en ia que expuso el encargo que trahía de su General, para interceder con la Puerta en tavor de los Beyes que solicitaban se</t>
  </si>
  <si>
    <t>n dadas las órdenes para la evacuación del Egipto. Las ultimas cartas de Alexandría anuncian que el General Stewart manifestaba grandes</t>
  </si>
  <si>
    <t>Stewat, Coronel</t>
  </si>
  <si>
    <t>Coronel Stewat</t>
  </si>
  <si>
    <t>ente que su comitiva, quienes excitáron toda la atención de los espectadores. El Lord Blantyre y el Coronel Stewat estuvieron sentados en el mismo palco. ./ Las noticias trqidas por el navio el Infatigable de la esquadra que está delante |de Brest, contienen haberse observado ün movimiento extra</t>
  </si>
  <si>
    <t>Sto</t>
  </si>
  <si>
    <t>de esta obra por ser solo de poesías. üa* Elección de prelado, conforme á la doctrina del angélico Dr. Sto. Tomas dc Aquino y Emo. Cardenal Cayetano : discurso sólido que escribió el M. R. p. jvi. pf Juan Clavería , hijo y Regente del Real convento de Predicadores de Zaragozaobra útil</t>
  </si>
  <si>
    <t>Stockar</t>
  </si>
  <si>
    <t>mberg y de los estados del Brisgaw. Las negociaciones con el Elector de Baviera se abrirán pronto.*—Mr. Stockar, de Schaffhusa, representa al cuerpo helvético en la mayor parte de las negociaciones. Una de las determinaciones mas importantes que ha tomado la Dieta es sobre las monedas. Ha d</t>
  </si>
  <si>
    <t>Stokar</t>
  </si>
  <si>
    <t>Stokar de Schaffusa</t>
  </si>
  <si>
    <t>N o habiendo pedido concluirse en Ratisbona las negociaciones comenzadas por el ciudadano Stokar de Schaffusa, Plenipotenciario de la República helvética, por haberse disuelto la diputación del Imperio, las continuó el Landamman con varias cortes separadas. El objeto e</t>
  </si>
  <si>
    <t>Stratton</t>
  </si>
  <si>
    <t>ue el mal estado de su salud le había obligado á solicitar que se le releve----- Dícese también que Mr. Stratton no permanecerá en Constantinopla con el mismo carácter de que estaba revestido, durante el viage del Lord Elgin al Archipiélago. Mr. Knobelsdorff, Ministro de Prusia, no había emp</t>
  </si>
  <si>
    <t>an desgracia. El Reis-Eífendi, que así se lo habia advertido ai Lord Elgin, se ha quejado de esto á Mr. Stratton, que queda de Encargado de negocios de su corte con el carácter de Ministro Plenipotenciario. También se ha notado que la carta de notificación dirigida por el Lord Elgin ai Cuerp</t>
  </si>
  <si>
    <t>Stroynowki</t>
  </si>
  <si>
    <t>versidad, y las de los demas Rec-*tores de las escuelas del distrito: para la primera está nombrado Mr. Stroynowki, Obispo Coadjutor deLubeck, prelado de la catedral de esta ciudad, caballero de la orden de S. Estanislao, catedrático jubilado &amp;c. , que ya la había ocupado y desempeñado su carg</t>
  </si>
  <si>
    <t>Stuart, General</t>
  </si>
  <si>
    <t>General Stuart</t>
  </si>
  <si>
    <t>rnar-Bey se ha pasado con sus tropas al Baxá del Cayro. Los otros Beyes han pedido la mediación del General Stuart* quien se. ha negado á ello en virtud de las instrucciones que tenia de no intervenir .en estas disensiones. Petersburgo 4 de Diciembre. S . M. ha mandado manifestar su satisfacci</t>
  </si>
  <si>
    <t>patria..__El 2 de Octubre partí de Trípoli; y el 16 llegué á Alexandría, en cuyo dia fui á casa del General Stuart, comandante de las fuerzas inglesas de mar y tierra, y le comuniqué la orden del Ministro de Relaciones exteriores en que se me prevenia pasara á Alexandría; y si los ingleses ocu</t>
  </si>
  <si>
    <t>on mi cabeza de la falsedad de ellas. El Baxá habia conocido el engaño, y me comunico una carta del General Stuart acabada de recibir, a la que e&gt;taba unida una orden del dia del primer Cónsul quando mandaba el exército de Oriente. Esta orden del dia del mes de Setiembre de 1799 recordaba á lo</t>
  </si>
  <si>
    <t>Suárez Arango, Juan</t>
  </si>
  <si>
    <t>Juan Suárez Arango</t>
  </si>
  <si>
    <t>ntía al Teniente, graduado, de Capitán, D. Juan de Velasco: en el de Mallorca Subtenencia al Cadete D. Juan Suarez Arango : en el de Navarra Subtenencia de bandera al Cadete del de Reales Guardias de infantería Española D. Fortunato Cahillet : en el de Ultonia Ayudantía al Teniente de granaderos, con</t>
  </si>
  <si>
    <t>Suárez Donayre, Miguel</t>
  </si>
  <si>
    <t>Miguel Suárez Donayre</t>
  </si>
  <si>
    <t>ado : para otra Canongía de la colegial de Uxijar, en el arzobispado Granada, vacante por muerte de D. Miguel Suarez Donayre, á D. Juan Joseph Rodríguez Granados : para otra Canongía de la colegial de Cerbatos, diócesis de Burgos, vacante por fallecimiento de D. Francisco Antonio de. Caaipuzano, á D. Ju</t>
  </si>
  <si>
    <t>Suatez y Ordoñez, Vicente</t>
  </si>
  <si>
    <t>Vicente Suatez y Ordoñez</t>
  </si>
  <si>
    <t>ta pública celebrada el dia 17 de Junio de este año. Los opositores fueron 22, baxo la dirección de D. Vicente Suatez y Ordoñez, quien ha acreditado su zelo y cuidado en el adelantamiento de süs discípulos. Los vocales que adjudicaron los premios eran 9, y votaron en está forma: el primer premio de estatua</t>
  </si>
  <si>
    <t>Sueur</t>
  </si>
  <si>
    <t>on tal violencia que perecieron varias de las personas que la habitaban, entre las quales se cuenta Mr. Sueur, conocido por su habilidad en la pintura. Viena jo de Noviembre. E 1 Emperador ha dado nuevas órdenes para reducir el exército al pie de paz. Dícese que se licenciarán los tercero</t>
  </si>
  <si>
    <t>Suffolk, Lord</t>
  </si>
  <si>
    <t>Lord Suffolk</t>
  </si>
  <si>
    <t>T ratándose antes de ayer en la Cámara de los Pares de la defensa general del Rey no, se levantó el Lord Suffolk,y dixo que solo había venido á la ciudad con el fin de saber que disposiciones se; habían dado para llevar á efecto el armamento y disciplina del país, asunta que miraba como el m</t>
  </si>
  <si>
    <t>Sugrañes, Joaquín</t>
  </si>
  <si>
    <t>Joaquín Sugrañes</t>
  </si>
  <si>
    <t>s arriba mencionados podrán acudir á percibir del Subteniente del Batallón de Voluntarios de Gerona Don Joaquín Sugrañes, encargado de las Banderas de recluta én Barcelona , los alcances arriba referidos, precedida la justificación de ser sus inmediatos herederos. EN LA IMPRENTA REAL.</t>
  </si>
  <si>
    <t>Sweedenrik-Carp, Capitán</t>
  </si>
  <si>
    <t>Capitán Sweedenrik-Carp</t>
  </si>
  <si>
    <t>anda. El gobierno de estado ha hecho saber al público que los servicios que ha hecho á la patria el Capitán Sweedenrik-Carp en las colonias de las Indias occidentales, merecen el aprecio de sus compatriotas. Este Capitán fué enviado á fines del mes de Marzo último á comunicar á los gobernadores holandese</t>
  </si>
  <si>
    <t>Swerts y Ayala, Joseph María</t>
  </si>
  <si>
    <t>Joseph María Swerts y Ayala</t>
  </si>
  <si>
    <t>por la promoción de D. Juan de Castañeda al Arcedianato de Alicante, Dignidad de la de Orihuela, á D. Joseph María Swerts y Ayala: para otra Ración de Ja catedral de Zamora, vacante por fallecimiento de D. Joseph María leal de Ibarra, á D. Joseph de Fuentes y Toro: para el Beneficio Préstamo de la parroquia</t>
  </si>
  <si>
    <t>Tabares de Ulloa, Francisco</t>
  </si>
  <si>
    <t>Francisco Tabares de Ulloa</t>
  </si>
  <si>
    <t>orriente. Apenas llegároii á saberse en Francia las observaciones y ensayos hechos y publicados por D. Francisco Tabares de Ulloa, Canónigo de la iglesia metropolitana de Valencia, con el cacahuete ó maní de América, quando entre otros el Prefecto que era entonces de las Landas, persuadido de las ventajas y</t>
  </si>
  <si>
    <t>Tabemet y Pavía, Joseph</t>
  </si>
  <si>
    <t>Joseph Tabemet y Pavía</t>
  </si>
  <si>
    <t>nientes del expresado Real cuerpo á D. Antonio de Hoces y Gutiérrez, D. Joseph Ventades y Martínez, D. Joseph Tabemet y Pavía, D. Antonio Isasi y Betevin, D. Antonio Casano y Dátoli, D. Mateo Chardenaux y Rodríguez, D. Pablo Argaiz y Aranguren, D. Pablo Ventades y Martínez, D. Agustín Salazar y Allendela</t>
  </si>
  <si>
    <t>Tabliega, Lorenzo</t>
  </si>
  <si>
    <t>Lorenzo Tabliega</t>
  </si>
  <si>
    <t>chez Rangel: para el Arciprestazgo de C-ejanza , en el arzobispado de Burgos, vacante por muerte de D. Lorenzo Tabliega, á D. Ramón de Quevedo: para la Dignidad de Capiscol deja colegial de Cervatos, en la diócesis de Burgos, vacante por fallecimiento de D. Joseph Villalobos, á D. Juan Gómez de Ro-</t>
  </si>
  <si>
    <t>Taboada, María</t>
  </si>
  <si>
    <t>María Taboada</t>
  </si>
  <si>
    <t>64 y 65 , perteneciente á la memoria que eñ la iglesia parroquial de Sta. Cruz de esta corte fundó Doña María Taboada, compuesta de 5 5 5^ pies quadrados superficiales, tasada en 106,823!- rs. En la misma forma se ha mandado subastar por 15 dias mas otra casa sita en la calle de Amanuel, con acce</t>
  </si>
  <si>
    <t>Taddei, Antonio</t>
  </si>
  <si>
    <t>Antonio Taddei</t>
  </si>
  <si>
    <t>íncipes de Asturias D. Fernando y Doña María Antonia presentó el referido Excmo. Sr. : dibujada por D. Antonio Taddei, y grabada con esmero.; Se hallará á.8 rs.’en las librerías de Gómez Fue^itenebro’j calle.fle las Carretas, y de González, Calle de Atocha!, frente á la casa de los Gremios. " — I</t>
  </si>
  <si>
    <t>Tafaíla, Juan</t>
  </si>
  <si>
    <t>Juan Tafaíla</t>
  </si>
  <si>
    <t>enviado al Rey Ntro.' $r. desde la provincia de Guayaquil el Botánico agregado á aquella expedición D. Juan Tafaíla en la fragata nombrada Ntra. Sra, de los Dolores, alias la Primera. Contienen dichos caxones 22 paquetes de esqueletos de raras y. preciosas plantas , la mayor; parte árboles y arbu</t>
  </si>
  <si>
    <t>Tafbot</t>
  </si>
  <si>
    <t>o. E &gt;■ 1 General-Andróes! diego él 20 a. esta capital, y ¡ en ¿el 'mismo' dia se preparaba á'salir Mr. Tafbot, Secretario de la embaxada británica. ^ Acaba de publicarse el manifiesto del Rey de Inglaterra, y un tomo en folio de 145 páginas, en que se hallan todos los comprobantes que se</t>
  </si>
  <si>
    <t>Talbot</t>
  </si>
  <si>
    <t>baxada Mrs. Talbot y Portalis quedaban para seguir las negociaciones. El Lord Hawkesbury, dixo: que Mr. Talbot habla quedado en París para recoger los papeles de la embaxada y proteger á los vasallos de S¿.M. que allí se hallasen, que por lo que hace á Mr. Portalis ignoraba que estuviese t</t>
  </si>
  <si>
    <t>Talleyrand</t>
  </si>
  <si>
    <t>ta al gobierno ingles, á fin de saber si S. M. Británica queria ratificarla. El ciud. Talleyrand , Ministro de Relaciones exteriores , escribió en conseqiiencia al Lord Hawkesbury la carta siguiente con fecha de 10 de Junio: „Milord: después de un ligero c</t>
  </si>
  <si>
    <t>Tamara, General</t>
  </si>
  <si>
    <t>General Tamara</t>
  </si>
  <si>
    <t>ial por lo tocante al comercio, de que se espera un nuevo tratado muy ventajoso á los franceses. El General Tamara, antes Embaxador de Rusia , partió de aquí para Petersburgo el 21 del corriente; y el 25 se embarcó para Ñapóles el Conde de Ludolph, Ministro de S. M. Siciliana. Berlín 26 de Abr</t>
  </si>
  <si>
    <t>Tarleton, General</t>
  </si>
  <si>
    <t>General Tarleton</t>
  </si>
  <si>
    <t>2 5 de Febrero propuso el Secretario de la Guerra la tercera lectura del bilí sobre la milicia. El General Tarleton reproduxo sus dudas sobre la utilidad de estas tropas respecto de las de línea. ,, Yo preguntaré, añadió, al Secretario de la Guerra y á los Ministros de S. M. si en la situación</t>
  </si>
  <si>
    <t>que hablaba, con mucho énfasis de las fuerzas de la Francia, de su pericia y de su oficialidad. El General Tarleton repuso que una población de tantos millones, y un pueblo guerrero, eran motivos bastantes para inspirar fundada inquietud. Sin embargo , se verificó la tercera lectura del bilí, y</t>
  </si>
  <si>
    <t>Tarquato Antonio Collado</t>
  </si>
  <si>
    <t>adas á la calleóMayor y calie Nueva,, nútn. 9 ,manz. 193, tasada en 178,8^.9 rs., acuda ante el Sr. D. Tarquato Antonio Collado , Teniente Corregidor de esta villa, por la escribanía del número que exerce D. Juan de Repide , dentro de 30 días, contados desde el 7 de este mes. Quien quisiere hacer postura á</t>
  </si>
  <si>
    <t>Tavira, Pedro Fernando</t>
  </si>
  <si>
    <t>Pedro Fernando Tavira</t>
  </si>
  <si>
    <t>; y para la de. Gracia y Justicia y Real Patronato de la Corona de Aragón, que este obtenía, al Sr. D. Pedro Fernando Tavira. Igualmente se ha servido nombrar para el Corregimiento! de letras de la ciudad de Calahorra á D. Cáelos Cea. y Avalle : para l!a Vara de Alcalde mayor de la de Purehena i D. Jose</t>
  </si>
  <si>
    <t>Tayllerand</t>
  </si>
  <si>
    <t>an dado tocante á las islas conquistadas en el discurso de la guerra ultima; y las instrucciones de Mr. Tayllerand á Mr-Fauvelett en Dubíin. Se aprobó esta mocion, y la Cámara se separó* En la Cámara de los Comunes y junta del 24 se continuaron los debates.__ Mr. Tomas Grenville. „Los que crea</t>
  </si>
  <si>
    <t>Tbarra, Miguel</t>
  </si>
  <si>
    <t>Miguel Tbarra</t>
  </si>
  <si>
    <t>Riaza; y para la Prestamera de Guadalcázar, en la diócesis de Córdoba, vacante por fallecimiento de D. Miguel Tbarra,á D. Valentín ¡de Iquzquiza.</t>
  </si>
  <si>
    <t>Teierizo de Tejada, Salvador</t>
  </si>
  <si>
    <t>Salvador Teierizo de Tejada</t>
  </si>
  <si>
    <t>ancisco Gutiérrez y Varona, á quien nombró S. M. para ella en decreto de 24 de Abril de este año, á D. Salvador Teierizo de Tejada ; para la Ración que este obtiene en aquella catedral y resultará vacante, á D. Julián Gregorio Melón: para el Arciprestazgo de la Guardia, en la diócesis de Calahorra, vacante po</t>
  </si>
  <si>
    <t>Téixidor, Joseph</t>
  </si>
  <si>
    <t>Joseph Téixidor</t>
  </si>
  <si>
    <t>ipción al tomó primero de la-obra intitulada: Discurso spbre la historia universal de la música por D. Joseph Téixidor, organista de la Reál capilla de S. M, Esta obra, en la que se explican científicamente todos lossisfemas de música antiguos y modernos, esTitil.no solo á los facuitativos , sino</t>
  </si>
  <si>
    <t>Tejada, Pedro</t>
  </si>
  <si>
    <t>Pedro Tejada</t>
  </si>
  <si>
    <t>e Capitán, D. Guillermo Marrast de Forgis: en el de América Ayudantía al Teniente, con igual grado, D. Pedro Tejada: en el de ‘ la Princesa Compañía al Teniente'de granaderos, también graduado de Capitán, D. Bernardo Casamayor: en el de Málaga Compañía al Caballero Page de S. M. D. Joseph Luco:</t>
  </si>
  <si>
    <t>Temple, Lord</t>
  </si>
  <si>
    <t>Lord Temple</t>
  </si>
  <si>
    <t>, no resultando de todo otra indicación que el querer los vocales un triun^ fo ligero y estéril. El Lord Temple sé quejó de que se atribuyesen-ma-' las intenciones á los vocales, y propuso que se suspendiese la lectura* del bilí. Mr.. Sheridam- dixo: „Yo apruebo las observaciones que se aca</t>
  </si>
  <si>
    <t>con tiempo advertido á todos estuviesen sobre sí , y reprimir mas pronto á su ambicioso vecino. El Lord Temple se apoya en la declaración del Rey, en la que dice hallarse la condenación de los Ministros, siendo preciso confesar que desde el tratado de Aniiens no ha cesado la Francia de pro</t>
  </si>
  <si>
    <t>taban por lo pronto 8® hombres; que quando llegase el caso de necesitarse mas podían aumentarse. El Lord Temple pregunto quántos hombres se hallaban á bordo de las esquadras británicas , y respondiendo Sir P. Stephens que 80® se habían votado, pero que ignoraba si se hallaban efectivamente</t>
  </si>
  <si>
    <t>Tenencia, Princesa</t>
  </si>
  <si>
    <t>Princesa Tenencia</t>
  </si>
  <si>
    <t>^nl: en el de Hibernia Subtenencia de bandera al Sargento primero D. Angel -Cafareli; y en el de la Princesa Tenencia al Subteniente de granaderos D. Joseph Medel de Prada; y también ha promovido en el batallón de Voluntarios de Tarragona á Ayudante segundo, al Teniente D. Manuel González.</t>
  </si>
  <si>
    <t>Teniente de Irlanda, Lord</t>
  </si>
  <si>
    <t>Lord Teniente de Irlanda</t>
  </si>
  <si>
    <t>Echiquier, que se autorizasen los Ministros de S. M. para presentar un bilí cuyo objeto era dar al Lord Teniente de Irlanda y á qualesquier otros Gobernadores las facultades necesarias para arrestar y prender á qualquier individuo que conspirase</t>
  </si>
  <si>
    <t>Teniente, Lord</t>
  </si>
  <si>
    <t>Lord Teniente</t>
  </si>
  <si>
    <t>elreagh dixo que en la última sublevación de Irlanda se descubrió y sosegó la rebelión antes que el Lord Teniente diese parte de ella al Parlamento; para que este adoptase los medios conducentes á que aquel continuase con vigor en el sistema que con tanta felicidad había principiado: que con</t>
  </si>
  <si>
    <t>órdenes del Teniente Coronel Barbut. Con fecha de 31 de Agosto se ha remitido una carta circular al Lord Teniente del condado de Essex, en que se le dice que se han dado órdenes á la dirección de artillería, para que entregue el número de armas suficiente para la mitad de la quota de voluntarios</t>
  </si>
  <si>
    <t>Teodoro de Alineyda</t>
  </si>
  <si>
    <t>na, ó arte de vivir contento en todos los trabajos de la vida : obra escrita en portugués por el P. D. Teodoro de Alineyda , de la Congregación del oratorio de S. Felipe Neri de Lisboa,y de la xAcademia de las Ciencias de Lisboa &amp;c. : nueva traducción, mejorada en el estilo y en los versos por el P. D</t>
  </si>
  <si>
    <t>Teodoro de Almeyda</t>
  </si>
  <si>
    <t>diferentes obsequios ofrecidos á la misma Señora considerada en suis dolores y angustias: por el P. D. Teodoro de Almeyda, y traducidos del portugués al castellano, coa una estampa fina de Ntra. Sra. considerada en sus dolores : un tomo en 8.° Se hallará en las librerías de esta corte. Instrucción út</t>
  </si>
  <si>
    <t>ría de Btanques , calle de las Carretas. ' La Lógica ó ciencia de cultivar el entendimiento, del P. D. Teodoro de Almeyda. Se hallará en la librería de Calleja, calle angosta de Majadericos. Arte de escribir, por D. Estéban Ximenez siguiendo el método y buen gusto de D. Francisco Xavier de Santiago P</t>
  </si>
  <si>
    <t>Teófilo Filadelfo</t>
  </si>
  <si>
    <t>S. Juan de la Cruz : un tomo en 8.° menor, 4 rs. en papel, 5 en pergamino y 7 en pasta. = Carta de D. Teófilo Filadelfo, presbítero, á D. Anio* nio Val verde: 4 rs. en rústica. :z=:;ÜoIeccÍon. de pastorales del limo. Sr. D. Fr. Joseph Antonio de S. Alberto, Arzobispo de la Plata-, dos tomos en 4.0</t>
  </si>
  <si>
    <t>Teólogo</t>
  </si>
  <si>
    <t>tos y otras oraciones muy provechosas y útiles para la salud espiritual por el P. Ignacio Martínez, Doctor Teólogo de k misma Compañía: un tomo en 8.° letra abultada. Se hallará en la librería de Saturnino Fernandez , calle del Correo , frente al Parte. EN LA IMPRENTA REAL,</t>
  </si>
  <si>
    <t>Teotochi, Príncipe</t>
  </si>
  <si>
    <t>Príncipe Teotochi</t>
  </si>
  <si>
    <t>iones el pacto social.: á cuyo efecto ha dado el plan.de una nueva asamblea nacional. Exponiendo el Príncipe Teotochi, Presidente de la regencia actual, las intenciones de S. M. Rusa y los medios de realizarlas , hace ver i ios jonios quantos desastres les ha acarreado la</t>
  </si>
  <si>
    <t>Terencio Le-Blanc</t>
  </si>
  <si>
    <t>ros D. Cayetano Perez y D. Pedro Palao ; á Tenientes á los Subtenientes D*. Juan Bautista Pellerin, D. Terencio Le-Blanc, D. Benigno Calderón , D. Pedro' Rola, D. Juan Moreno; D. Ursino Bóuiigny, D. Francisco Garreli, Don1 Francisco de Hévia, P- Vicente Fernandez Texero, graduado de Teniente , D. An</t>
  </si>
  <si>
    <t>Teresa de Silva y Silva, María</t>
  </si>
  <si>
    <t>María Teresa de Silva y Silva</t>
  </si>
  <si>
    <t>a librería de Escribano, calle de las Carretas. : Epicedio a la temprana miiétt©: de la Excma. Sra. Doña María Teresa de Silva y Silva, última Duquesa de Alba &amp;c. Se hallará en la librería de Ranz , callé dé* la Cruz&lt; Recreaciones del hombre sensible : 6 tomos en 8.® Véndense en las librerías dé Barco, carrera-de</t>
  </si>
  <si>
    <t>Teresa, María (princesa)</t>
  </si>
  <si>
    <t>Princesa María Teresa</t>
  </si>
  <si>
    <t>S.. AA* Jos recibieron con mucha satisfacción , y mandaron ponerlos .en sus quafitos. La Sema. Sra. Princesa Doña María Teresa en aquella ocasión , y después ios Sermos. Sres. Príncipe de Beyra é Infantes, complacidos aí ver los dichos capullos, se dignaron igualmente de aceptar algunos; y la Princesa Ntra.</t>
  </si>
  <si>
    <t>Termis, Joseph</t>
  </si>
  <si>
    <t>Joseph Termis</t>
  </si>
  <si>
    <t>otra de la parroquia de Montalban, diócesis de Zaragoza, vacante por muerte dé p. Joseph ,Espes, á D. Joseph Termis. • r. ........ El Rey se ha servido promover á Tenientes en los regimientos de infantería de la Reyna, Granada y Cantabria á los Subtenientes de los mis-? mos cuerpos D. Manuel Oc</t>
  </si>
  <si>
    <t>Terrasson, Almirante</t>
  </si>
  <si>
    <t>Almirante Terrasson</t>
  </si>
  <si>
    <t>Contra-Almirante Rouvet ha sido nombrado Comandante militar de este puerto, p&lt; r muerte del Contra-Almirante Terrasson.__ La división del Almirante Linois salió del Cabo el 11 de Mayo. Boloña 2$ de Octubre. H a llegado á esta rada una nueva división de la flotilla. Un buque ingles la ha venido sig</t>
  </si>
  <si>
    <t>Terreu, Domingo</t>
  </si>
  <si>
    <t>Domingo Terreu</t>
  </si>
  <si>
    <t>ervido nombrar para el Deanato, primera silla después de la Pontifical, de la catedral de Teruel, á D. Domingo Terreu, Canónigo de la colegial de S. Isidro el Real. El Rey se ha servido declarar la propiedad del mando general de las islas de Canarias al Mariscal de Campo de sus Reales exércitos M</t>
  </si>
  <si>
    <t>Terroba, Pedro</t>
  </si>
  <si>
    <t>Pedro Terroba</t>
  </si>
  <si>
    <t>902 dalla de plata de dos ottzas á D. Pedro Terroba.— Quatro iguales de cabezas á D. Francisco Guzman,D. Antonio García Vera, D. Antonio Alamo y D. Manuel de Medina-----Para premiar la aplicación de otros quatro opositores de esta</t>
  </si>
  <si>
    <t>Teruel, Blas Manuel</t>
  </si>
  <si>
    <t>Blas Manuel Teruel</t>
  </si>
  <si>
    <t>li Cruz, Capitán del propio cuerpo. S. M. ha nombrado Subtenientes del Real cuerpo de Ingenieros { D. Blas Manuel Teruel, D. Joseph Armendariz y D. Joseph María Dana, D. Antonio Retnon del Valle y D. Joseph Cortines, que lo eran de los regimientos de infantería de Granada, Mallorca, Príncipe y Volun</t>
  </si>
  <si>
    <t>Teruel, Joseph</t>
  </si>
  <si>
    <t>Joseph Teruel</t>
  </si>
  <si>
    <t>era at Cadete D. Joseph Moiitojo: igual empleo en el de América al Sargento prirtiero de granaderos D. Joseph Teruel y al Cadete D. Alexandro Monfbr; en el de Ordenes Militares la Comandancia del tercer batallón al Sargento mayor del segundo batallón de Voluntarios de Aragón, graduado de Teniente</t>
  </si>
  <si>
    <t>Testa</t>
  </si>
  <si>
    <t>birlo. Después acá no ha podido conseguir eL presentarse, por lo qual se marchará prónt®, dexando á Mr. Testa cq~— ano encargado de negociojs. . f \ Hay en»el Canal mas de 120 buques de diferentes naciones&gt; muchos dé ellos idestinados»jal mar Negro ,-adonde los:yeremos entrar entre ma-ñañ</t>
  </si>
  <si>
    <t>Testa-Ferrata</t>
  </si>
  <si>
    <t>minutos. Basilea 4 de Noviembre, E 1 Land-Ammán ha tenido aviso de oficio de que llegará muy pronto Mr. Testa-Ferrata , Nuncio del Papa, y el Abate Nofretti, romano; Secretario del Nuncio. Estos dos son los encargados de negociar un Concordato con la Suiza. El Nuncio residirá en Lucerna, pero irá</t>
  </si>
  <si>
    <t>Thainviile</t>
  </si>
  <si>
    <t>rancia. ¿Tu quieres pues, dixo el Dey estar en guerra conmigo? No, respondió el ciud. Thainviile; pero el primer Cónsul es tan poderoso que no. puede ser tu tributario. Después de varias razones, añadió el Dey, „enhorabuena, que no pague nada: yo quiero es</t>
  </si>
  <si>
    <t>Thainvilíe</t>
  </si>
  <si>
    <t>s potencias de Europa algunas sumas y regalos de consideración , hizo llamar al ciud. Thainvilíe, Comisarioígeneral de la República-francesa, y le dixo: i,que todos le enviaban dinero, y que el primer Cónsul era el único que nada le daba; sin embargo de qu</t>
  </si>
  <si>
    <t>Thainville</t>
  </si>
  <si>
    <t>embargo de que en todos tiempos la Francia había acostumbrado el regalarle. El ciud. Thainville le manifestó el artículo de la carta escrita al primer Cónsul, y, traída por el Ayudante general Hullin ,"en la qual desistia el Dey de toda pretensión á regal</t>
  </si>
  <si>
    <t>Thernisien-d</t>
  </si>
  <si>
    <t>ibuir á la felicidad del mundo?” En otra audiencia presentó al primer Cónsul el ciud. Thernisien-d* Haudricourt la segunda entrega de su obra intitulada Fastos del pueblo francés. Madrid de Noviembre. E 1 Rey se ha servido nombrar para una Canongía de la cat</t>
  </si>
  <si>
    <t>Thevenard, Almirante</t>
  </si>
  <si>
    <t>Almirante Thevenard</t>
  </si>
  <si>
    <t>ica de las ciencias acaba de recioir de la isla de la Reunión ( alias de Borbon) por medio del Vice-Almirante Thevenard, una caxa de diversas preparaciones de leche de carica papaya , que se tiene en las colonias por el remedio mas eficaz para curar las lombrices,y aun también la tenia ó gusano sol</t>
  </si>
  <si>
    <t>Thio Ruster, Joseph</t>
  </si>
  <si>
    <t>Joseph Thio Ruster</t>
  </si>
  <si>
    <t>la Sociedad el Director de la misma escuela de dibuxo D. Juan Nepomuce110 Cónsul, adjudicó el 2° á D. Joseph Thio Ruster, y el 3.0 á D, Francisco Paredes, gratificando árD. Ricardo Palacib y D. Santiago Parrado con 1 oors. á cada, uno/deh fondo de ia iSbéiedíad; y ett aténdidfi:á;la constante aplica</t>
  </si>
  <si>
    <t>Thoímas Grenville</t>
  </si>
  <si>
    <t>ia muy de desear se evitasen, librándole de la cierta y presente miseria que-,deben producir. Según Mr. Thoímas Grenville, eb acceder á lá propuesta del discurso , á •S. M., -es una qüestion enteramente distinta del examen de ;!a: couducta •de los Ministros; y ambas deben examinarse séparadamente; pe</t>
  </si>
  <si>
    <t>Thurin</t>
  </si>
  <si>
    <t>tas-, y por su obra sobre los canales de navegación. En estos últimos dias se ha casado en Chaillot Mr. Thurin , de edad de 73 años, con la viuda de Richard , de 74 , ámbos pensionados de la casa de retiro de los ancianos. Madama Gloux, ecónoma general de esta casa, acompañó á los esposos</t>
  </si>
  <si>
    <t>Tiburcio de Zaragoza</t>
  </si>
  <si>
    <t>rique O Neille: en el de las Ordenes Militares Subtenencia de bandera al Subteniente dei de América D. Tiburcio de Zaragoza; y en el batallón de Veluntarios de Tarragona Subtenencia de bandera al Sargento primero D. Juan Magriña. S. M. se ha servido promover en el Real cuerpo de Ingenieros del exército</t>
  </si>
  <si>
    <t>Tiburció Escamador</t>
  </si>
  <si>
    <t>las Carretas; y en Zaragoza en las de Monge , Yagüe y Molina. Carta del Dr. D. Tiburció Escamador, médico browniano, vecino de Imaginaria , al Dr. D. Toribio Serlo, médico antiguo hipocrático titular de la villa de Realidad : un quaderno en 8.° Se hallará en la librería de Baylo, call</t>
  </si>
  <si>
    <t>Tiburcio Francos</t>
  </si>
  <si>
    <t>Xefe de brigada de Artillería D. Luis Pesino; á los Sargentos mayores D. Joseph García Pa-r redes y D. Tiburcio Francos; á los Capitanes primeros D. Mariano Breson y D. Juan Vcngoa, y al Capitán segundo D. Juan de Osma: a los Mayores de brigada de Ingenieros D. Juan Ordobas y D. Gabriel Moron; á lo</t>
  </si>
  <si>
    <t>Tiburcio González</t>
  </si>
  <si>
    <t>r promoción de D. JosephMorillas y Navarrete á Oidor supernumerario de la Audiencia de. Sevilla1, á D. Tiburcio González; y para otra también del crimen de dicha Chancillería, vacante por muerte de D. Andrés Bustillo de la Cueva, á D&lt; Gabriel Constantin. También ha nombrado S. M. para el Corregimien</t>
  </si>
  <si>
    <t>Tierney</t>
  </si>
  <si>
    <t>o (añadió) en el mes de Junio ultmio propuso que se votasen 70® marineros , un vocal ausente ahora (Mr. Tierney) le preguntó, qual podria ser el número necesario en tiempo de paz, -á lo que respondió &lt;ju-e de -;o© hombres. ; Por que pues se piden ahora 50©? ¿que mudanza ha ocurrido en nuest</t>
  </si>
  <si>
    <t>circunstancias la exigiesen ahora, y por último pidió permiso para presentar el bilí mencionado___ Mr. Tierney dixo; que aunque era del número de los que al principio votáron contra la prohibición de pagar en dinero, estaba pronto á acceder á la propuesta si la hallaba convincente; pero en</t>
  </si>
  <si>
    <t>Till, General</t>
  </si>
  <si>
    <t>General Till</t>
  </si>
  <si>
    <t>ciones.__ Pasóse á votar, y hubo 398 votos en favor del discurso y 67 en contra. Haya de Junio, E 1 General Till}7', Inspector .general de las tropas francesas, se halla en esta ciudad, de donde irá á jHelvoet-Sluys y á Briela á pasar las revistas. Mr. Listón ántes de pedir sus pasaportes ha</t>
  </si>
  <si>
    <t>Timoteo Higueras</t>
  </si>
  <si>
    <t>o y brillantes, ejercicios: para la obtención de los tres premios mayores de á 55 pesos cada uno i. D. Timoteo Higueras, D. Francisco Godoy y D. Simón Sánchez; y para los otros tres de á 35 pesos también cada uno, á D. Jpseph Antonio García, Don Francisco López y D. Domingo Barona. Mas como lax com</t>
  </si>
  <si>
    <t>Tinajero, Gabriel</t>
  </si>
  <si>
    <t>Gabriel Tinajero</t>
  </si>
  <si>
    <t>Lison ; á Tenientes á los Subtenientes D. Pedro Bofarrull y D. Sebastian de Arroyo , de granaderos, D. Gabriel Tinajero , D. Antonio García, D. Joseph Lacomba, D. Domingo de Aragón , D. Joseph Nuñez, de bandera, y D. Diego Pizarro ; á Subtenientes de granaderos al de fusileros D. Ramón Valldejuli,</t>
  </si>
  <si>
    <t>Tisot</t>
  </si>
  <si>
    <t>de Majaderitos. Aviso á los literatos y poderosos acerca de su salud : obra escrita en francés por Mr. Tisot, y traducida al español por D. Félix Galisteo y Giorro, profesor de cirugía. Se hallará en la librería de Fernandez , frente á las gradas de S. Felipe. Diálogos de los muertos, en</t>
  </si>
  <si>
    <t>Tofiño, Vicente</t>
  </si>
  <si>
    <t>Vicente Tofiño</t>
  </si>
  <si>
    <t>n lispa- Aineriña. Qd. Rs. vn. Rs.plta. Atlas marítimo de España, trabajado por el Xefe de Esquadra D. Vicente Tofiño: un tomo en pasta............. 620. 330. El mismo Atlas á la holandesa.............................................. 590. 314. Colección de cartas de las costas de España, y su co</t>
  </si>
  <si>
    <t>Supl., p. 6</t>
  </si>
  <si>
    <t>ta de España en el Océano para inteligencia y uso de las cartas construidas por el Xefe de Esquadra D. Vicente Tofiño: un tomo en tafilete....... 66. 45' Idc en pasta...................................................................... 26. 16. Idem á la holandesa.................................</t>
  </si>
  <si>
    <t>Toggia</t>
  </si>
  <si>
    <t>cias le han sido posibles para cortar el mal en su principio, y comisionó á los ciudadanos Toggia y Vachini,veterinarios, para que fuesen á los parages infestados con los medicamentos correspondientes, y se ha conseguido cortar los progresos de la epizootia. Parts 3</t>
  </si>
  <si>
    <t>Toitiás Benávides</t>
  </si>
  <si>
    <t>D. Bernardo Prieto, D. Cirilo Lessasier, D. Juan Treviño y D. Luis Dreux, y los Sargentos primeros D. Toitiás Benávides, de granaderos, y D, Juan Galguera.</t>
  </si>
  <si>
    <t>Toledano, Juan</t>
  </si>
  <si>
    <t>Juan Toledano</t>
  </si>
  <si>
    <t>ey se ha servido nombrar para la Canongía de la catedral de Salamanca, vacante por fallecimiento de D. Juan Toledano, á D. Manuel Francisco Gutiérrez y Varona: para la de la metropolitana de Granada, vacante por promoción de D. Miguel de Crayvinquel y Zuleta al Deanato de la misma, á D. Antonio</t>
  </si>
  <si>
    <t>Toliño, Vicente</t>
  </si>
  <si>
    <t>Vicente Toliño</t>
  </si>
  <si>
    <t>frica en el Mediterráneo, para inteligencia y uso de las cartas construidas por el Xefe de Esquadra D. Vicente Toliño: en tafilete................................................. 70. 46. Idem en pasta..................................... 30. 20. Idem á la holandesa...............................</t>
  </si>
  <si>
    <t>Tolstoy, Alexandro (conde)</t>
  </si>
  <si>
    <t>Conde Alexandro Tolstoy</t>
  </si>
  <si>
    <t>de los hombres mas instruidos del Imperio turco. Petersburgo 4 ae Febrero. S . M. I. ha escrito al Conde Alexandro Tolstoy una carta muy expre-&lt; siva manifestándole lo satisfecho que está de sus servicios, y remitiendo-^</t>
  </si>
  <si>
    <t>Tomborough, Almirante</t>
  </si>
  <si>
    <t>Almirante Tomborough</t>
  </si>
  <si>
    <t>anda, que esel objeto mas interesante del gobierno. La mayor parte de los buques de la esquadra del Almirante Tomborough cruzan á la altura de Zandvort. Los habitantes de esta comarca perderán sus temores luégo que las tropas destinadas á la defensa del norte de Holanda lleguen al campamento que se</t>
  </si>
  <si>
    <t>Tommasi, Joseph María (cardenal)</t>
  </si>
  <si>
    <t>Cardenal Joseph María Tommasi</t>
  </si>
  <si>
    <t>celebró solemnemente, en la basílica del Vaticano, la beatificación del venerable siervo de Dios el Cardenal Joseph María Tommasi, del orden de Teatinos. El Sto. Padre pasó á la basílica con mucho séquito, donde le recibieron 25 Cardenales. Esta ceremonia la executó el Cardenal decano, Duque de Yorck, asisti</t>
  </si>
  <si>
    <t>Tordana, Manuel</t>
  </si>
  <si>
    <t>Manuel Tordana</t>
  </si>
  <si>
    <t>ignidad de Tesorero de la catedral de Barcelona, vacante por fallecimiento de D. Agustín Almarza, á D. Manuel Tordana, Capellán del primer regimiento det;Real cuerpo de Artillería; y para una Ración de la metropolitana dreTarragona, vacante por muerte de D. Joseph Bartroii, i D. Guillermo Rocabru</t>
  </si>
  <si>
    <t>Toribio de Ugarte, Melchor</t>
  </si>
  <si>
    <t>Melchor Toribio de Ugarte</t>
  </si>
  <si>
    <t>de n del corriente. El dia ii de Febrero último falleció en esta corte, de edad de 76 años, el Sr. D. Melchor Toribio de Ugarte, del Consejo de S. M. en el supremo de la Guerra; en cuyo empleo y en el de Auditor de Guerra de Marina del departamento de Cartagena, y de Oidor honorario de la Chancillería de G</t>
  </si>
  <si>
    <t>Toribio Serlo</t>
  </si>
  <si>
    <t>l Dr. D. Tiburció Escamador, médico browniano, vecino de Imaginaria , al Dr. D. Toribio Serlo, médico antiguo hipocrático titular de la villa de Realidad : un quaderno en 8.° Se hallará en la librería de Baylo, calle de las Carretas. Tratado práctico de colmenas ó pastoría de las</t>
  </si>
  <si>
    <t>Tornas del Valle</t>
  </si>
  <si>
    <t>mple servidero de S. Andrés de la villa deCuellar, en la diócesis de Segovia, vacante por muerte de D. Tornas del Valle, á D. Manuel Burgos Barona: para la quarta Prestamera de la parroquial de la villa de Gibraleon, en el arzobispado de Sevir lia, vacante por renuncia que ha hecho de ella D. Félix</t>
  </si>
  <si>
    <t>Toro, Francisco</t>
  </si>
  <si>
    <t>Francisco Toro</t>
  </si>
  <si>
    <t>niente de granaderos, graduado de Capitán, D. Jacobo Casal; Ayudantía al Teniente, con igual grado, D. Francisco Toro, y Subtenencia de bandera al Cadete D. Andrés Machadó: en el de ¡Navarra Tenencias á los Subtenientes D. Francisco González, D. Juan González, D. Francisco GaIlano y D. Antonio Va</t>
  </si>
  <si>
    <t>Torquat</t>
  </si>
  <si>
    <t>ación de afecto á favor de. dichos dos sugesos , premiando al primero con un exemplar de la obra de D. Torquat© Torio de la Riva, y al segundo con otro de Don Francisco Xavier de Palomares, cuyos premios recibieron de mano del Protector Presidente. Y á D. Manuel Arias y D. Francisco Leocad</t>
  </si>
  <si>
    <t>Torquato</t>
  </si>
  <si>
    <t>a, previniéndose que el remate se ha de celebrar el martes 1.6 de este mes. Por providencia del Sr. D. Torquato. Antonio Collado, Teniente Corregidor de Madrid; se manda sacar á pública1 subasta por 30 días una casa- de baños, sita en la calle del Mediodía grande, con vuelta á la del Mediod</t>
  </si>
  <si>
    <t>Torquato Antonio CoIlado</t>
  </si>
  <si>
    <t>casa nueva de las. Recogidas, núms. 7 y 8, quarto baxo, quien dará razón. Por la audiencia del Sr. D. Torquato Antonio CoIlado,deí Consejo de S. M., Teniente Corregidor de esta villa, y escribanía del número de D. Juan Antonio efe Urraza, se está subastando una casa, sita en la calle de Atocha, frente al</t>
  </si>
  <si>
    <t>Torquato Antonio Collado</t>
  </si>
  <si>
    <t>do S. M. en nombrar para el Corregimiento de letras ae la ciudad de Lorca, vacante par promoción de D. Torquato Antonio Collado á la plaza de Teniente segundo de Corregidor de Madrid, á D. Juan Sebastian Neri; y para el de la ciudad de Ubeda á D. Francisco Xavier Lozano y Avellan , que son los dos Alcaldes</t>
  </si>
  <si>
    <t>a Corral en Madrid, calle de los Tintes* á Puerta Cefrada, en su librería. Por la audiencia del Sr. D. Torquato Antonio Collado , Teniente Corregidor de esta villa, y:escribanía de su número que exerce D. Tomas de Sancha y Prado, $e, subasta uija,casa, sita én el Real sitio de.S. Ildefonso y calle de los I</t>
  </si>
  <si>
    <t>gunas nubes, en los demas ha estado raso ó con nubecillas débiles. En virtud de providencia del Sr. D. Torquato Antonio Collado, del Consejo de S. M., Teniente Corregidor de esta villa, se han sacado á pública subasta dos casas sitas en ella, la una en la corredera de S. Pablo, num. 25 , manz. 449 * tiene</t>
  </si>
  <si>
    <t>en varias partes del departamento de. la Dordogne: observaciones meteorológicas de Febrero. El Sr. D. Torquato Antonio Collado, del Consejo de S, M., Teniente Corregidor de esta villa, ha señalado el Junes i z del corriente entre i i y 12 de su maiíana en Ja audiencia de S. S., para el remate de una casa</t>
  </si>
  <si>
    <t>e laá 11 de su mañana en dicha escribanía. . En virtud de providencia del Sr. D.Torquato Antonio Collado, Teniente Corregidor de esta villa, y por Ja escribanía del número de D. Pedro de Azconaga Caballero, están mandadas sacar á pública subasta por término de 30 días, contados desde 5 de este</t>
  </si>
  <si>
    <t>la eludid , y en esta corte á D. JaymeDot, calle de los Preciados, núm. 2. Por providencias del Sr. D. Torquato Antonio Collado , Teniente Corregidor de esta villa, se mandaron sacar á publica subasta por 30 dias, que ya son pasados, unas casas de baños sitas en la calle del Mediodía grande, con vuelta a l</t>
  </si>
  <si>
    <t>tado de los nacidos , muertos y casados en París : observaciones meteorológicas de este mes. El Sr. D. Torquato Antonio Collado, Teniente Corregidor de esta villa, ha señalado el dia 23 del corriente para el remate de una casa, situada en la calle de Embaxadores, junto al portillo, núms. 5 y 6 ,manz. 30, t</t>
  </si>
  <si>
    <t>inteligencia de que ha de rematarse el dia 27,de doce á una de su mañana , en la audiencia del Sr. D. Torquato Antonio Collado, Teniente Corregidor de Madrid. Por providencia del Sr. D. Manuel de Torres, del Consejo de S. M., Teniente Corregidor de esta villa , se subastan dos casas , una en la calle de l</t>
  </si>
  <si>
    <t>tá tasada en 251,912 rs. y dan por ella la misma cantidad en vales Reales. Por la audiencia del Sr. D. Torquato Antonio Collado y escribanía del número de D. Tomas de Sancha y Prado, se vende una casa sita en el lugar de Alcorcon, tasada en rs. Quien quisiere hacer postura acuda ante dicho Señor Teniente y esc</t>
  </si>
  <si>
    <t>23 del presente mes de Noviembre entre doce y una de su mañana á las puertas de-la audiencia deFSr. D. Torquato Antonio Collado, dél Consejo de S. M., Teniente Corregidor de esta villa. Quien quisiere hacer postura acudirá á la escribanía del número de D.’ Casimiro Antonio Gómez. El Sr. D. Manuel de Torres</t>
  </si>
  <si>
    <t>dia 5 de Diciembre próximo, de doce á una de su mañana, en la audiencia del Sr. Teniente Corregidor D. Torquato Antonio Collado. Quien quisie</t>
  </si>
  <si>
    <t>Torquato Antonio de Collado</t>
  </si>
  <si>
    <t>ez; en inteligencia de que principia á correr el término el dia 7 dé Julio. Por providencia del Sr. D. Torquato Antonio de Collado, del Consejo de S. M., ...Teñí ente Corregidor de esta villa, se han mandado sacar á pública subasta, por término de 30 días, las fincas siguientes, sitas en término de Getafe. li</t>
  </si>
  <si>
    <t>TorquatOo Antonio Collado</t>
  </si>
  <si>
    <t>Antonio Fernandez en eL término de 30 días, contados desde 2*4 dl¿ Setiembre próximo pasado. E1 Sr. D. TorquatOo Antonio Collado, Teniente Corregidor de esta villa, ha señalado el dia 1 1 del vconiente d las 9 de su mañana en la posada de S. S., para que concurran 4 ella i uru junta los acreedores á la test</t>
  </si>
  <si>
    <t>Torrado, Manuel</t>
  </si>
  <si>
    <t>Manuel Torrado</t>
  </si>
  <si>
    <t>romover á Xefe de brigada del primer regimiento á D. Manuel Bustamante; á Capitán primero del 5.0 á D. Manuel Torrado; á Capitán segundo del 3.0 á Don Joaquin Cancio, y á Teniente del i.° á D. Francisco Saavedra. Se advierte que las cartas para Ñapóles deben franquearse en los oficios de correos,</t>
  </si>
  <si>
    <t>Torralba, Juan</t>
  </si>
  <si>
    <t>Juan Torralba</t>
  </si>
  <si>
    <t>Teniente del de infantería de Jaén, y de los de Milicias de Burgos, Orense y Tuy, á D. Tadeo López, D. Juan Torralba y D. Juan Arranz, Ayudantes agregados á los de Laredo, Cuenca y Segovia. En América. El Rey se ha servido promover en el regimiento de infantería de la Corona de Nueva España á Capitá</t>
  </si>
  <si>
    <t>Torras y Pellicer, Joseph</t>
  </si>
  <si>
    <t>Joseph Torras y Pellicer</t>
  </si>
  <si>
    <t>a los Mayores de brigada de Ingenieros D. Juan Ordobas y D. Gabriel Moron; á los Capitanes primeros D. Joseph Torras y Pellicer y D. Antonio Agudo: á D. Ignacio Montilla, Capitán del regimiento provincial de Bujalance; y á D. Nicolás María Renden , Capitán del de Ronda. En el Real cuerpo de Artillería se ha se</t>
  </si>
  <si>
    <t>Torrealba, Diego</t>
  </si>
  <si>
    <t>Diego Torrealba</t>
  </si>
  <si>
    <t>l Sargento primero D. Antonio Arteaga: en el de Valencia Compañía al Ayudante, graduado de Capitán, D. Diego Torrealba: en el de América Tenencias á los Subtenientes D. Santiago Cermeño, Don Vicente Carriola y D. Juan TJgartemendia: en el de Extremadura Compañía al Ayudante, graduado de Capitán, D</t>
  </si>
  <si>
    <t>Torrejon, Manuel Martín</t>
  </si>
  <si>
    <t>Manuel Martín Torrejon</t>
  </si>
  <si>
    <t>a la Ración que obtenía también en la referida catedral el expresado D. Alonso Gutiérrez Estrada, á D. Manuel Martin Torrejon: para otra dei colegio de Sancti-Spiritus de la ciudad de Santiago, vacante por promoción de D. Joaquín María Piñeyro á una Canongia de la catedral de Palencia, á D. Joseph Doming</t>
  </si>
  <si>
    <t>Torreño, Manuel</t>
  </si>
  <si>
    <t>Manuel Torreño</t>
  </si>
  <si>
    <t>a el Beneficio del lugar de Palacios de Goda, en la diócesis de Avila, vacante por fallecimiento de D. Manuel Torreño, á D. Juan Mas, con la obligación de residirlo por sí mismo: para el Préstamo del lugar de Mcronta, en la diócesis de Salamanca, vacante por muerte de D. Bruno López, y las dos Me</t>
  </si>
  <si>
    <t>Torrent, Cayetano</t>
  </si>
  <si>
    <t>Cayetano Torrent</t>
  </si>
  <si>
    <t>lafranca del Panadés , diócesis de Barcelona, vacantes por los fallecimientos de D. Agustín Soler., D. Cayetano Torrent y D. Diego Angulo, á D. Ignacio Corts, D. Josepli Caballol y D. Eudaldo Villardeli: para un Beneficio de parentela de la catedral de Vique, baxo la invocación de S. Pablo, á D. Franci</t>
  </si>
  <si>
    <t>Torrequemada, Pedro</t>
  </si>
  <si>
    <t>Pedro Torrequemada</t>
  </si>
  <si>
    <t>iento de infantería de Burgos se ha servido promover el Rey á Teniente al Subteniente de granaderos D. Pedro Torrequemada: en el de Aragón á Ayudante al Teniente, graduado de Capitán, D. Joaquín García: en el primer batallón de Voluntarios de Aragón á Subteniente de bandera al Cadete D. Fabian Lagoan</t>
  </si>
  <si>
    <t>Torres, Manuel Vicente</t>
  </si>
  <si>
    <t>Manuel Vicente Torres</t>
  </si>
  <si>
    <t>dirá unte dicho Sr. Juez y escribanía del número de D. Francisco Escribano. Por providencia del Sr. D. Manuel Vicente Torres y escribanía del número de D. Francisco Escribano, se ha mandado sacar nuevamente á pública subasta por término de 30 dias , contados desde el 13 , una casa situada en la calle del Ol</t>
  </si>
  <si>
    <t>alle del Pez, en la prendería. A voluntad de su dueño , con facultad real y por providencia del Sr. D. Manuel Vicente Torres, del Consejo de S¿ M., Teniente Corregidor de esta villa r y escribanía del número de D. Ghristóhai de Vicuña, se vende un Título de Castilla : quien quisiere hacer postura acuda</t>
  </si>
  <si>
    <t>Torres, Pedro</t>
  </si>
  <si>
    <t>Pedro Torres</t>
  </si>
  <si>
    <t>isco Pío Manrique de Lara; á Brigadier al Sub-Brígadier D. Joseph Lasala; á Sub-Brigadier al Cadete D. Pedro Torres; á Cadetes de número á los supernumerarios D. Eugenio Ximeno y D. Antonio Barreyro, y á supernumerario á D. Francisco Arteaga-.y en la Compañía Flamenca del mismo Real cuerpo á Ex</t>
  </si>
  <si>
    <t>Tortosa, Joseph</t>
  </si>
  <si>
    <t>Joseph Tortosa</t>
  </si>
  <si>
    <t>merario del propio cuerpo: habiendo también S. M. promovido á Tenientes Coroneles al Sargento mayor D. Joseph Tortosa y al</t>
  </si>
  <si>
    <t>Torvebla-nca, Joseph</t>
  </si>
  <si>
    <t>Joseph Torvebla-nca</t>
  </si>
  <si>
    <t>oya: Teniente de fusileros y Subteniente de,granaderos de.l .mismo de Chinchilla.á los Subtenientes D. Joseph Torvebla-nca.,y. D..Sebastian Ve lasco y Rueda: Teniente de fusileros del/de Cuenca af Su.bteniente D. Pedro Aguado; y Subtenientes de bandera de los deJEcija, Salamanca, Toledo, Ciudad Real y</t>
  </si>
  <si>
    <t>Trajano Augusto, Príncipe</t>
  </si>
  <si>
    <t>Príncipe Trajano Augusto</t>
  </si>
  <si>
    <t>á 18 rs. en pasta y 14 en rústica. = Panegírico de Plinio pronunciado en el Senado en alabanza del Príncipe Trajano Augusto, traducido del latin al castellano por el Lie. D. Francisco Barreda. Se hallarán en las librerías de Castillo , y de Cerro red de S. Lu’s. EN LA IMPRENTA REAL.</t>
  </si>
  <si>
    <t>lipe el Real. El Panegírico de Plinio en castellano, pronunciado en el Senado en alabanza del mejor Príncipe Trajano Augusto, su filosofía, política, moral y economía, ilustrado con varias notas y 10 discursos que sirven de ensayo al mismo Panegírico: un tomo en 4.0, á 16 rs. en pasta y 12 en rústica, m</t>
  </si>
  <si>
    <t>Travería, Francisco</t>
  </si>
  <si>
    <t>Francisco Travería</t>
  </si>
  <si>
    <t>llardeli: para un Beneficio de parentela de la catedral de Vique, baxo la invocación de S. Pablo, á D. Francisco Travería: para el Beneficio de S. Miguel, llamado de la Lámpara, de la catedral de Vique , á D. Ramón Camps ; y para el Beneficio simple fundado en la parroquial de la villa de S. Pedor, b</t>
  </si>
  <si>
    <t>Trejo Calleja, Pedro</t>
  </si>
  <si>
    <t>Pedro Trejo Calleja</t>
  </si>
  <si>
    <t>ón de D. Juan Joseph Fernandez de Vallejo ai ArcédianatO de Alcor, dignidad de la mistna iglesia, á D. Pedro Trejo Calleja: para una Canongía de la catedral de Urgel á D. Juan Nolla: para una Ración de la parroquial de la villa de Benabarre, diócesis de Lérida, á D. Antonio Balaguer; y para el Benefic</t>
  </si>
  <si>
    <t>Tremaría, Fernando</t>
  </si>
  <si>
    <t>Fernando Tremaría</t>
  </si>
  <si>
    <t>en el batallón de Milicias disciplinadas de Blancos de Valles de Aragua á Capitanes á los Tenientes D. Fernando Tremaría, D. Joseph Antonio Lobera, D. Pablo Clemente y Palacios, D. Joseph Vicente González y D. Francisco Lozano: á Teniente.de granaderos al de fusileros D. Juan Vicente Bolívar: á Teni</t>
  </si>
  <si>
    <t>Trento, Gerónimo</t>
  </si>
  <si>
    <t>Gerónimo Trento</t>
  </si>
  <si>
    <t>de Gómez Fuentenebro y compañía, calle de las Carretas. Quaresma, pláticas morales y panegíricos de D. Gerónimo Trento: traducidas del toscano por D. Joseph Márcos Gutiérrez. Se venden en la librería de Castillo, frente á S. Felipe el Real. Tratado de la tisis, sus síntomas , sus causas, sus difer</t>
  </si>
  <si>
    <t>Treviño, Antonio</t>
  </si>
  <si>
    <t>Antonio Treviño</t>
  </si>
  <si>
    <t>ara la Canongía de la catedral de León, vacante por fallecimiento de D. Miguel Ramón de Zumalave, á D. Antonio Treviño: para la Dignidad de Chantre de la catedral de Lugo, vacante por promoción de D. Antonio de Lence al Deanato de la misma, á D. Bartolomé Lorenzo Cienfuegos: para la Ración de la c</t>
  </si>
  <si>
    <t>Treviño, Juan</t>
  </si>
  <si>
    <t>Juan Treviño</t>
  </si>
  <si>
    <t>oseph Bernardo , y á Subtenientes de bandera á los Cadetes D. Bernardo Prieto, D. Cirilo Lessasier, D. Juan Treviño y D. Luis Dreux, y los Sargentos primeros D. Toitiás Benávides, de granaderos, y D, Juan Galguera.</t>
  </si>
  <si>
    <t>Treylhard</t>
  </si>
  <si>
    <t>vió á París á las 8 de la noche de,i mismo dia. En la junta de 25?de Febrero el ciud. Treylhard, Consejero de Estado , presentó al Cuerpo legislativo el segundo proyecto del código civil.. En el primer capítulo se trata del goce de los derechos civiles, y</t>
  </si>
  <si>
    <t>Tries, Domingo</t>
  </si>
  <si>
    <t>Domingo Tries</t>
  </si>
  <si>
    <t>bteniente D. Antonio Haiiegg; y á Capitán segundo en el de Yann, vacante, al Teniente de granaderos D. Domingo Tries. El Sr. primer Secretario de Estado dirigió con fecha de 29 del pasado al Sr. Gobernador del Consejo la Real orden siguiente: Excmo. Sr. Considerando el Rey el bien que puede resu</t>
  </si>
  <si>
    <t>Tristan, Francisco Xavier</t>
  </si>
  <si>
    <t>Francisco Xavier Tristan</t>
  </si>
  <si>
    <t>o nombrar para la Canongía de la catedral de Jaén , vacante por fallecimiento de D. Ramón Pueyo , á D. Francisco Xavier Tristan: para la Ración que este obtiene en !a misma iglesia , y resultará vacante, á D. Manuel Joseph Palomares: para otra Ración de la misma catedral, vacante por muerte de X&gt;. Francisc</t>
  </si>
  <si>
    <t>Troitiño, Joseph Vicente</t>
  </si>
  <si>
    <t>Joseph Vicente Troitiño</t>
  </si>
  <si>
    <t>iento de D. Luís-de Robles, al Chantre D. Pedro Gabriel Díaz Granados: para la Chantría al Tesorero D. Joseph Vicente Troitiño: para la Tesorería al Cura Rector del Sagrario de dicha catedral D. Joseph Gregorio de la Bastida: para el Arcedianato de la catedral de Quito,’vacante por muerte de D. Pedro Góme</t>
  </si>
  <si>
    <t>Trouvé</t>
  </si>
  <si>
    <t>verdadero agravio, y la dominación es su fin, y la discordia el medio.....** El ciud. Trouvé, orador del Tribunado, se expresó en estos términos i „Ciud. primer Cónsul. El Tribunado en su junta de ayer decre.tó que todo el cuerpo viniese á manifestar a</t>
  </si>
  <si>
    <t>Troyano y Torrubia, Fernando</t>
  </si>
  <si>
    <t>Fernando Troyano y Torrubia</t>
  </si>
  <si>
    <t>ncias de bandera de los de Jaén, Sigüenza s León, Ciudad-Rodrigo, Lugo, Ciudad-Real y Chinchilla, á D. Fernando Troyano y Torrubia , D. Isidro Alvarez de Lara, D. Ricardo de, Salcedo, I). Antonio del Hierro y Oliver, D. Joaquín Somoza y Losada , D. Joseph Eusebio de Coca y D. Diego Marín Capdevila. Por el Min</t>
  </si>
  <si>
    <t>Truguét, Almirante</t>
  </si>
  <si>
    <t>Almirante Truguét</t>
  </si>
  <si>
    <t>para beber ellos y su ganado. Brest 2$ de Octubre. A yer por la tarde llegó á esta ciudad el Vice- Almirante Truguét, quien mandará sin duda la esquadra.__ El Contra-Almirante Rouvet ha sido nombrado Comandante militar de este puerto, p&lt; r muerte del Contra-Almirante Terrasson.__ La división del</t>
  </si>
  <si>
    <t>Tschitschagow, Almirante</t>
  </si>
  <si>
    <t>Almirante Tschitschagow</t>
  </si>
  <si>
    <t>ordwinow, Ministro de Marina, ha conseguido se le accepte la dimisión de todos sus empleos. El Vice-Almirante Tschitschagow, que ha sido nombrado Colega del Ministro de Marina, corre interinamente con el despacho. Copenhague i§ de Febrero. E I navio Theseo, de Stetin , que venia de Nántes , encalló el</t>
  </si>
  <si>
    <t>Tuaní, Archiduque</t>
  </si>
  <si>
    <t>Archiduque Tuaní</t>
  </si>
  <si>
    <t>R., que por sí mismo elegirá para tales destinos los sugetos que mejor le parezcan. Entre tanto el Archiduque Tuaní presidirá el Consejo de Guerra. Mr; d^Justi, acreditado en la carrera diplomática , acaba de ser nombrado Ministro plenipotenciario Imperial cerca de S. M. el Rey de Etruria. Rati</t>
  </si>
  <si>
    <t>Turkheim, Barón</t>
  </si>
  <si>
    <t>Barón Turkheim</t>
  </si>
  <si>
    <t>eazgo de Elsflet, conformándose en nombre de su Soberano con el nuevo arreglo que se ha hecho.__ El Barón Turkheim, nuevo Ministro de HesseDarmstadt, se ha presentado ayer. Augsburgo ig de Abril. E I Príncipe de la Tour y Taxis acaba de recibir la desagradable noticia de haber el Rey de Prusia</t>
  </si>
  <si>
    <t>Tyrwihtt</t>
  </si>
  <si>
    <t>Príncipe de Gales, cuyos servicios podían ser de grande utilidad en las circunstancias actuales.__ Mr. Tyrwihtt habló en estos términos: ,,Teniendo el í&gt;r. Presidente empleo en casa del ilustre personage de quien se trata en la discusión actual, creo no debo guardar silencio por mas largo t</t>
  </si>
  <si>
    <t>Ugena, Domingo</t>
  </si>
  <si>
    <t>Domingo Ugena</t>
  </si>
  <si>
    <t>ri para que sirviese de preliminar á su Historia eclesiástica : escrito por I). Domingo Ugena, presbítero: un tomo en 8.° á 6 rs. en pasta. Se hallarán en casa de Munita, calle de las Carretas. ' El mejor esposo Jesús sacramentado: discurso que en la parroquial de Sta. María del Camin</t>
  </si>
  <si>
    <t>Uliate, Pedro</t>
  </si>
  <si>
    <t>Pedro Uliate</t>
  </si>
  <si>
    <t>á los Ayudantes D. Diego Ber.zafeaby Dv Joseph-Fernandez; á Ayudantes á los Tenientes de granaderos D. Pedro Uliate y D. Juan Estor; á Tenientes de granaderos á los de fusileros O. Joseph Malsonado y D. Francisco Avila; á Tenientes á los Subtenientes D. .Hilario Norma, D. Joseph Valdés yD. Pedro Ma</t>
  </si>
  <si>
    <t>Ulises Albergoti</t>
  </si>
  <si>
    <t>os con los números que se publicaron en el suplemento á la gazeta de 18 del corriente. El Brigadier D. Ulises Albergoti, Coronel del. regimiento de infantería de Najóles, que se halla en S. Líicar de Barrameda, avisa que de las finales cuentas que se ajustaron 319 individuos de su regimiento, los q</t>
  </si>
  <si>
    <t>Ulises Geoghegan</t>
  </si>
  <si>
    <t>oseph Dionisio Ximenez: en el de Hibernia á Capitán al Teniente de granaderos, graduado de Capitán, D. Ulises Geoghegan: en el de Voluntarios de la Corona á Teniente Coronel al Comandante del tercer batallón del de Murcia D. Francisco Corts ; y á Subtenientes de bandera á ios Sargentos primeros D.</t>
  </si>
  <si>
    <t>Unzaga, Francisco</t>
  </si>
  <si>
    <t>Francisco Unzaga</t>
  </si>
  <si>
    <t>. D. Manuel Antonio Elzaurdi. En Cuenca............ D. Manuel Escolar y Noriega. En Granada........D. Francisco Unzaga. En Guadalaxara. D. Isidoro García Plaza. En Jaén...............D. Pedro y Juan Esponera. En León............. D. Pedro Gil de Tejada. En Malaga... ...%. D. Antonio Mariano. En Mu</t>
  </si>
  <si>
    <t>uel Antonio Elzaurd?. En Cuenca............. Viuda de Escolar y Noriega é hijo. En Granada......... D. Francisco Unzaga. En Guadalaxara. D. Isidoro García Plaza. En Jaén............... D. Pedro y D. Juan Esponera. En León.................D. Pedro Gil de Tejada. En Málaga...........D. Antonio Marian</t>
  </si>
  <si>
    <t>el Antonio Elzaurdi. En Cuenca.............. Viuda de Escolar y Noriega é hijo. En Granada......... D. Francisco Unzaga. En Guadalaxara. D. Isidoro García Plaza. En Jaén..................D. Pedro y D. Juan Esponera. En León..................D. Pedro Gil de Tejada. En Málaga............D. Juan Ximen</t>
  </si>
  <si>
    <t>Urbina, Joseph</t>
  </si>
  <si>
    <t>Joseph Urbina</t>
  </si>
  <si>
    <t>istro en el Consejo Real , con honores del de la Cámara, nombrando en su lugar al Mariscal de Campo D. Joseph Urbina, Gobernador militar y político de Salamanca. En atención á las circunstancias y calidad de D. Joaquin Gómez, vecino del lugar de Ateca, reyno de Aragón, y á los servicios hechos á</t>
  </si>
  <si>
    <t>Urriera, Joseph Antonio</t>
  </si>
  <si>
    <t>Joseph Antonio Urriera</t>
  </si>
  <si>
    <t>nte de compañía al Sargento primero D. Angel Gutierres , y á Subtenientes de bandera, á los Cadetes D. Joseph Antonio Urriera y D. Joseph Lorenzo Romana. Igualmente se ha servido S. M. nombrar para la Auditoría de la provincia de Cumaná, vacante por promoción de D. Cecilio Odoardo á plaza de Oidor de la Audi</t>
  </si>
  <si>
    <t>Urruh, Ignacio</t>
  </si>
  <si>
    <t>Ignacio Urruh</t>
  </si>
  <si>
    <t>.Juan Zavaía,'y á'Subtenientes ele bandera á los Cadetes D. Ignacio Urruh. itia y D. Joseph Carrero , y al Sargento primero D. Miguel Avila. Asimismo sé ha‘servido S. M. nombrar para la plaza de Regente de laReal Audiencia de Buenos-Ayres, vacante por p</t>
  </si>
  <si>
    <t>Urrutia, Manuel</t>
  </si>
  <si>
    <t>Manuel Urrutia</t>
  </si>
  <si>
    <t>omas Delgado} á Tenientes á los Subtenientes de granaderos D. Eugenio Tarrio, D. Ra-t fael García y D. Manuel Urrutia, y á Subtenientes de granaderos á lo} de fusileros D. Patricio Gandía, D. Pedro Silva y D. Casimiro Estevas.' Con fecha de ió de Febrero se ha comunicado por el Ministerio de Haci</t>
  </si>
  <si>
    <t>Ursino Bóuiigny</t>
  </si>
  <si>
    <t>Juan Bautista Pellerin, D. Terencio Le-Blanc, D. Benigno Calderón , D. Pedro' Rola, D. Juan Moreno; D. Ursino Bóuiigny, D. Francisco Garreli, Don1 Francisco de Hévia, P- Vicente Fernandez Texero, graduado de Teniente , D. Antonio Gayarre y D. Francisco LadeVese, los tres primeros Luis Dáunoy j D.</t>
  </si>
  <si>
    <t>Ustery</t>
  </si>
  <si>
    <t>xoo6 yo frente se hallaba el ciud. Ustery, han hecho Insertar en e\ protocolo su protesta formal contra este modo de proceder, declarando que según los principios de mediación, el Consejo Menor era imc</t>
  </si>
  <si>
    <t>Uztariz, Joseph María</t>
  </si>
  <si>
    <t>Joseph María Uztariz</t>
  </si>
  <si>
    <t>standarte D. Juan Joseph Rodríguez y al Cadete D. Narciso Blanco, y al de Portaestandarte al Cadete D. Joseph María Uztariz. También se ha servido S. M. conferir la Sargentía mayor del regimiento de Milicias disciplinadas de caballería de la Havana ai Teniente Coronel D. Joaquín Langelé, Ayudante mayor</t>
  </si>
  <si>
    <t>Uztariz, Miguel</t>
  </si>
  <si>
    <t>Miguel Uztariz</t>
  </si>
  <si>
    <t>lacios, D. Joseph Antonio Cazcrla , D. Domingo Gaiindo, D. Rafael Monasterios, D. Simón de Bolívar, D. Miguel Uztariz y D. Agustín Carvallo: á Subteniente de granaderos al de fusileros D. Luis Carvallo; y {\ Subteniente de fusileros á D. J oseph María Paz del Castillo, Teniente de las compañías urban</t>
  </si>
  <si>
    <t>Va, Joseph</t>
  </si>
  <si>
    <t>Joseph Va</t>
  </si>
  <si>
    <t>nfantería de Puerto-Rico á Ayudantes mayores i D.Juan Antonio Vullosa, Capitán del propio cuerpo, y D. Joseph Va* retí,Teniente suelto de infantería destinado en aquella isla; ¿Capitaneé granaderos al de fusileros D. Bernardo Zeno; á Capitanes á los Teniente} de granaderos D. Santiago de Cór</t>
  </si>
  <si>
    <t>Vachini</t>
  </si>
  <si>
    <t>Vailariho, Bernardo</t>
  </si>
  <si>
    <t>Bernardo Vailariho</t>
  </si>
  <si>
    <t>ompañía de fusileros, que este dexa, al Ayudante D. Miguel Gutiérrez: para la Ayudantía al Teniente D. Bernardo Vailariho; para los empleos de Tenientes á los Subtenientes de granaderos D. Manuel García y Don Alexo Alarcon, y para la Subtenencia de granaderos al Subteniente de fusileros D. Manuel Mar</t>
  </si>
  <si>
    <t>Vaísalobre, Juan Joseph</t>
  </si>
  <si>
    <t>Juan Joseph Vaísalobre</t>
  </si>
  <si>
    <t>la.del Rey ¡^provinciade Cuenca, 12 de Noviembre* A solicitud del Cura párroco, y por diligencia de D. Juan Joseph Vaísalobre y D. Angel Fernandez, vecinos de esta villa, se introduxo en ella la inoculación de la vacuna , á tiempo que se padecían las viruelas naturales en los pueblos inmediatos, y en el disc</t>
  </si>
  <si>
    <t>Valanzat, Luis</t>
  </si>
  <si>
    <t>Luis Valanzat</t>
  </si>
  <si>
    <t>D. Manuel de Hita, D. Luis Ve-, yan y D. Luis Laviña, Capitanes segundos; y á esta á los Tenientes Don Luis Valanzat y D. Juan Palomino. En América. Iil Rey se ha servido nombrar para una Ración de laí catedral de la Puebla de los Angeles, vacante por promoción de. D. An-¿ tonio Joaquín Perez Martín</t>
  </si>
  <si>
    <t>Valcárcel, Antonio</t>
  </si>
  <si>
    <t>Antonio Valcárcel</t>
  </si>
  <si>
    <t>se ha servido S. M. promover á Subinspector Comandante del departamento de artillería de Sevilla á D. Antonio Valcárcel, Xefe de escuela del propio departamento; á Xefe de escuela del de Cartagena al Brigadier D. Joseph Montes Salazar, y á Coronel y Comandante de la artillería de la Havana á D. Agu</t>
  </si>
  <si>
    <t>Valdero, Manuel</t>
  </si>
  <si>
    <t>Manuel Valdero</t>
  </si>
  <si>
    <t>gial de Alfaro, diócesis de Tarazona, vacante por muerte de D. Pedro Pascasio Martínez de Aldama, á D. Manuel Valdero, Racionero de la misma colegial: para otra de la colegial de Covadonga, diócesis de Oviedo, vacante por fallecimiento de D. Francisco González Pinera, á D. Sebastian Francisco de</t>
  </si>
  <si>
    <t>Valdes Barrera, Juan</t>
  </si>
  <si>
    <t>Juan Valdes Barrera</t>
  </si>
  <si>
    <t>. «e lia servido nombrar Capellán del tercer batallón del regimiento de Reales Guardias Españolas á D. Juan Valdes Barrera, Capellán del de infantería de León; y en el de Reales Guardias Walonas ha promovido á segundo Ayudante mayor al Alférez D. Joseph Ramón An¿1JÍE1 Rey se ha servido conceder en los</t>
  </si>
  <si>
    <t>Valdes Incian, Fernando</t>
  </si>
  <si>
    <t>Fernando Valdes Incian</t>
  </si>
  <si>
    <t>allón de Voluntarios de Cataluña á Subteniente ai Cadete del citado Real cuerpo de Guardias Walonas D. Fernando Valdes Incian; y en el batallón de Voluntarios de Valencia á Teniente al Subteniente D. Miguel Márquez.</t>
  </si>
  <si>
    <t>Valdes, Alonso</t>
  </si>
  <si>
    <t>Alonso Valdes</t>
  </si>
  <si>
    <t>ier Elio, D. Juan Chrisóstomo Trelles ,.D. Cárlos Montero, D. Vicente Martínez, D. Pedro Grimarest, D. Alonso Valdes y D. Alexandro Ojea, Sargentos mayores de los de España , Navarra , Princesa, batallón de Voluntarios de Valencia, Mallorca, Sevilla, Saboya, Burgos, Guadalaxara y Borbon; y la del de</t>
  </si>
  <si>
    <t>Valdés, Joseph</t>
  </si>
  <si>
    <t>Joseph Valdés</t>
  </si>
  <si>
    <t>sileros O. Joseph Malsonado y D. Francisco Avila; á Tenientes á los Subtenientes D. .Hilario Norma, D. Joseph Valdés yD. Pedro Madera, y.áíStibtenientés; de "bandera á los Cadetes ;D. Juan Córdoba y D. Luis -Lara , y ah Sargento-primero de granaderos L&gt;. Lázaro Calvo. Asimisiño-ha promovido-S. M.e</t>
  </si>
  <si>
    <t>Valdocera, Joseph</t>
  </si>
  <si>
    <t>Joseph Valdocera</t>
  </si>
  <si>
    <t>na, baxo la invocación de S. Miguel, extramuros , vacante por fallecimiento de D. Antonio Gatell, á D. Joseph Valdocera: para otro Beneficio simple , llamado Priorato, en la parroquial del lugar de la Liacuna, diócesis de Barcelona, vacante por muerte de D. Esteban Santaló, á D. Valentín García*, p</t>
  </si>
  <si>
    <t>Valencia, Felipe Antonio</t>
  </si>
  <si>
    <t>Felipe Antonio Valencia</t>
  </si>
  <si>
    <t>de fusileros D. Joseph Díaz, D. Andrés Postigo y D. Juan Velazquez , y á Subtenientes á los Cadetes D. Felipe Antonio Valencia y D. Mariano Arroyo, y á los Sargentos primeros D. Miguel Garcés, D. Francisco Joseph de Ribera, y D. Francisco Román , el primero y último de granaderos. Y en el de Milicias de cabal</t>
  </si>
  <si>
    <t>Valentín</t>
  </si>
  <si>
    <t>estamera de Guadalcázar, en la diócesis de Córdoba, vacante por fallecimiento de D. Miguel Tbarra,á D. Valentín ¡de Iquzquiza.</t>
  </si>
  <si>
    <t>Valentín Fernández</t>
  </si>
  <si>
    <t>co se ha servido el Rey promover á Capitanes á los Tenientes D. Joseph Quiñones , D. Tomas Delgado, D. Valentín Fernandez y D. Agustín Román, los dos primeros de granaderos; á Tenientes de granaderos á los de fusileros D. Manuel Rodríguez y D. Joseph Ramírez; á Tenientes á los Subtenientes de granaderos</t>
  </si>
  <si>
    <t>Valentín García</t>
  </si>
  <si>
    <t>roquial del lugar de la Liacuna, diócesis de Barcelona, vacante por muerte de D. Esteban Santaló, á D. Valentín García*, para otro Beneficio de S. Miguel, llamado Comunda , en la villa de Prats del Rey, diócesis de Vique, vacante por fallecimiento de D. Francisco Coldelram, á D. Ramón Miralpeis; p</t>
  </si>
  <si>
    <t>Valentín Melendo</t>
  </si>
  <si>
    <t>para la Alcaidía mayor de la ciudad de Jaca 2 D. Manuel Becerril y Valero: para la de Ciudad-Real á D. Valentín Melendo: para la de Cartagena á D. Manuel Saiz de Villegas: para una de las Varas de la ciudad de Zaragoza á D. Antonio Caro y Gini: para la de la ciudad de Lérida á D. Francisco Xavier G</t>
  </si>
  <si>
    <t>Valentín Moralejo</t>
  </si>
  <si>
    <t>D. Antonio López de Toledo; á Teniente de granaderos al de fusileros D. Juan Ximenez ; á Teniente á D. Valentín Moralejo, Subteniente.de granaderos; á esta resulta al de fusileros D. Antonio .Moreno; á la de esté al Subteniente de bandera D. Antonio Carballo, y á b que este dexa al Sargento primero</t>
  </si>
  <si>
    <t>Valentinj Mplendo</t>
  </si>
  <si>
    <t>nistro su justicia.. En la gazeta núm. 90, pág. 966 , lín. 22, dice haberse servido S. M. nombrar á D. Valentinj Mplendo para la Yara de Alcalde mayor de Ciudad-Real ; léase para el Corregimiento. . : ¿ Aviso. ' Con elfínde quéel Mercurio de España tenga alguna mas extensión, y pueda también formars</t>
  </si>
  <si>
    <t>Valera, Francisco</t>
  </si>
  <si>
    <t>Francisco Valera</t>
  </si>
  <si>
    <t>Manuel González, y á.Subtenientes de bandera á los Cadetes D. Gabriel OrRian , D. Joaquín. Elosua y D. Francisco Valera , y al .Sargento primero de granaderos D. Martin O.deriz. ; , La junta de gobierno del Banco nacional de S. Carlos, e.n virtud del cap., 19 de la Real'cédula de .erección, y de lo</t>
  </si>
  <si>
    <t>Valladares de Sotomayor, Antonio</t>
  </si>
  <si>
    <t>Antonio Valladares de Sotomayor</t>
  </si>
  <si>
    <t>se dará quanto antes. El tomo 5.0 de la Leandra , novela original que comprehende muchas: su autor D. Antonio Valladares de Sotomayor. Se hallará con los 4 anteriores en la libreíía de Escribano, calle de las Carretas, y en el puesto del diario, frente á Santo Tomas; en Cádiz en Ja librería de Pajares, en Sevill</t>
  </si>
  <si>
    <t>Valladares de Sotonvayor, Antonio</t>
  </si>
  <si>
    <t>Antonio Valladares de Sotonvayor</t>
  </si>
  <si>
    <t>gobernar una monarquía católica : obras del célebre D. Melchor Rafael de Macanaz : dadas á luz por D. Antonio Valladares de Sotonvayor. Se hallarán en k librería de Escribano, calle de las Carretas. Economía de la vida humana,, corregida y aumentada con la oda de la vida humana. Se hallará en la librería de Dávil</t>
  </si>
  <si>
    <t>Valldejuli, Ramón</t>
  </si>
  <si>
    <t>Ramón Valldejuli</t>
  </si>
  <si>
    <t>ón , D. Joseph Nuñez, de bandera, y D. Diego Pizarro ; á Subtenientes de granaderos al de fusileros D. Ramón Valldejuli, y al de bandera D. Luis Gineti; á Subtenientes á los de bandera D. Salvador de Valldejuli y D. Joseph Arnau , los Cadetes D. Buenaventura Ayesa y D. Manuel del Coro , y los Sarge</t>
  </si>
  <si>
    <t>Vallecillo, Manuel</t>
  </si>
  <si>
    <t>Manuel Vallecillo</t>
  </si>
  <si>
    <t>promover á Ayudante en el de infantería de Córdoba al Teniente de granaderos, graduado de Capitán, D. Manuel Vallecillo: á Teniente en el de Zaragoza al Subteniente de granaderos D. Joaquín Ramón Cabero; y á Subteniente de bandera al Cadete D. Igr nació Lavilla Gandarillas: á Subteniente de bandera</t>
  </si>
  <si>
    <t>Vallenilla, Juan Joseph</t>
  </si>
  <si>
    <t>Juan Joseph Vallenilla</t>
  </si>
  <si>
    <t>eniente D; Gabriel ¡dé Rada* ¿ Tenientes los Subtenientes D. Pedro Manuel de Pineda, de granaderos, D. Juan Joseph Vallenilla, D. Manuel Blanco y Dv Adrián Blanco; i Subteniente de granaderos al de fusileros D. Cornelia Blanco; á Subtenientes de fusileros y de bandera al Cadete D;BUs del Cantillo, á Dort</t>
  </si>
  <si>
    <t>Vallet y Gatell, Joseph María</t>
  </si>
  <si>
    <t>Joseph María Vallet y Gatell</t>
  </si>
  <si>
    <t>del oficio de esa Junta de 6 de Setiembre último, y de jla instancia del Dr. D» Joseph María Vallet y Gatell , Cirujano del segundo barailon del regimiento de infantería de Navarra» que solicita se le admita por el Proto-Medicato al exámen y revalida de medicina, y asimismo de las razones con que l</t>
  </si>
  <si>
    <t>Valli</t>
  </si>
  <si>
    <t>te.__ 2* Muchos niños vacunados han mamado, sin mala resulta, la leche de nodrizas apenadas. 3.* El Dr. Valli , Médico italiano, que ha venido á Turquía pa*a ha ef Observaciones sobre la peste, convencido de la nueva propiedad atribuí</t>
  </si>
  <si>
    <t>modos con apestados acometidos de bubones y de carbuncos, sin sentir ningún efecto.__ 4.a El mismo Dr. Valli se ha inoculado en la mano izquierda con una mezcla de virus virulento y pestilencial, sin ningún efecto; y se propone inocular dentro de poco, tiempo el virus pestilencial solo__</t>
  </si>
  <si>
    <t>Valmon, Conde</t>
  </si>
  <si>
    <t>Conde Valmon</t>
  </si>
  <si>
    <t>obras siguientes: Triunfos de la verdadera religión contra los extravíos de la razón, ó cartas del Conde Valmon,. traducidas por el R.P., Fr. Clemente Mi llana, del orden de S. Francisco, 5 tomos en¿f.° en pasta, pergamino y rústica: la Apología de la teología escolástica dél M. Fr. Tedro d</t>
  </si>
  <si>
    <t>Valverde y de Hoya, Francisco</t>
  </si>
  <si>
    <t>Francisco Valverde y de Hoya</t>
  </si>
  <si>
    <t>o nombrar para la Canongía de la catedral deTuy, vacante por fallecimiento de D. Joseph Milleyro, i D. Francisco Valverde y de Hoya: para otra Magistral de Púlpito de la de Orihuela, vacante por promoción de D. Joaquín Ximeno á la Dignidad de Maestrescuela</t>
  </si>
  <si>
    <t>Van-Bree</t>
  </si>
  <si>
    <t>embre. M adama Leclerc se ha casado con el Príncipe Borghese en Morfontaine. El ciud. Van-Bree, pintor de Ambéres, ha presentado á Madama Bonáparte un quadro alegórico de una composición muy ingeniosa y hecho Con primor. Se representa en él al primer Cón</t>
  </si>
  <si>
    <t>Vander-Goes</t>
  </si>
  <si>
    <t>la ciudad una diputación compuesta de dos miembros del Consejo d&amp; Estado, y del ciud. Vander-Goes, Secretario de Estado y xefe del departamento de 'Relaciones extrangeras. De unos días á esta parte es muy considerable aquí el número de enfermos. Es una suer</t>
  </si>
  <si>
    <t>Vansittart</t>
  </si>
  <si>
    <t>hubiesO Oposición al bilí, y creía -que lo que pedían los plantadores era de rigurosa justicia---- Mr. Vansittart dixo: El cultivo de nuestras colonias emplea mucha parte dedos capitales dé la GranBí*etaña ; y si no socorremos'/los plantadores,es inevitable su ruina, que llevará tras sí mucha</t>
  </si>
  <si>
    <t>spués de la consolidación de los derechos de las aduanas. En la junta de la misma Cámara el 13 hizo Mr. Vansittart la propuesta de un bilí dirigido á facilitar el aumento de marineros para los buques de S. M. y del comercio, permitiendo entrar en el servicio á los extrangeros___Reunióse luego la</t>
  </si>
  <si>
    <t>ja cpaz ¡sin tíbtene r mejores condiciones que Jas que había propuesto.la.Eraheiaí.; Rebatiéndole: Mr. Vansittart, relte-.xíop;©.que eran peligrososen lavctísis actual.todos los discursos que exiigeran los males de la guerra y desalientán al pueblo. Mr. Moore advierte que á fuerza de hacer ob</t>
  </si>
  <si>
    <t>Vanwerde, Carlos</t>
  </si>
  <si>
    <t>Carlos Vanwerde</t>
  </si>
  <si>
    <t>Teniente en el de Reales Guardias Walonas al segundo Ayudante mayor, graduado de Teniente Coronel, Don Carlos Vanwerde.El Rey ha nombrado primer Ayudante del regimiento Real de Zapadores y Minadores al Capitán segundo del Real cuerpo de Ingenieros D. Felipe Montes. . En América. El Rey se ha servi</t>
  </si>
  <si>
    <t>Varela de Seixas, Joseph</t>
  </si>
  <si>
    <t>Joseph Varela de Seixas</t>
  </si>
  <si>
    <t>ph Oromí: para la de Oidor de la de Mallorca , vacante por igual ascenso de D. Joaquín Sistemes , á D. Joseph Varela de Seixas ; y para la plaza que resulta vacante en la Audiencia de Asturias por la promoción de D. Joseph Salvador López del Pan á otra de Oidor de la Coruña, á D. Miguel Antonio de Zumal^c</t>
  </si>
  <si>
    <t>Várela de Seixas, Joseph</t>
  </si>
  <si>
    <t>Joseph Várela de Seixas</t>
  </si>
  <si>
    <t>lencia á D. Juan Alvarez Posadilla; y para una plaza de Ministro de la Real Audiencia de Mallorca á D. Joseph Várela de Seixas. Asimismo ha nombrado S. M. para la Vara de Alcalde mayor de la ciudad de Calatayud á D. Joseph Roxo y Guillen; y para la de la Igualada , en Cataluña, á D. Agustín Alberch. En Am</t>
  </si>
  <si>
    <t>Várela, Joseph Manuel</t>
  </si>
  <si>
    <t>Joseph Manuel Várela</t>
  </si>
  <si>
    <t>Consejos. S. M. se ha servido conferir la Dirección de Rentas de pólvora y naypes de Nueva España á D. Joseph Manuel Várela, Contador de ellas: la Contaduría á D. Francisco Joseph Bernal, Contador de las Caxas de Valladolid de Mechoacan: esta resulta á D. Nicolás Quilti de Valois, que servia igual dest</t>
  </si>
  <si>
    <t>Várela, Ramón</t>
  </si>
  <si>
    <t>Ramón Várela</t>
  </si>
  <si>
    <t>iago-en. casa- del - Dr. D. Julián Suarez , primer Ayudante de química , y en la, Corana en casa de D. Ramón Várela, Cirujano del Real hospital. En las mismas se halla á 2 rs. la Memoria de la prolongación de la lengua fuera de la boca, por el mismo autor, y traducida por el citado Perez : Memo</t>
  </si>
  <si>
    <t>Varona, Joseph</t>
  </si>
  <si>
    <t>Joseph Varona</t>
  </si>
  <si>
    <t>de Burgos, vacante por promoción de D. Manuel Ruiz Zorrilla a una Canongía de la misma* colegial, á D. Joseph Varona: para una Media-Rae.on de la catedral de Cuenca, vacante por muerte de D. Felipe Oitiz de SaL^.i, á D. Leandro Vicente Alvarez Navarro; y para el Beneficio simple servidero de la</t>
  </si>
  <si>
    <t>Vauqüelih</t>
  </si>
  <si>
    <t>Bertóllet á elevarse muchas veces en un globo aerostática para verificarlas. El ciud. Vauqüelih está .encargado de hacer la análisis déla piedra atmosférica que cayó en las cercanías de Apt. Por informe de la Sociedad del fomentó de Pafis há concedido el go</t>
  </si>
  <si>
    <t>Vázquez de Aldana y del Aguila, Antonio</t>
  </si>
  <si>
    <t>Antonio Vázquez de Aldana y del Aguila</t>
  </si>
  <si>
    <t>Españolas D. Francisco de Paula Landa, D. Joseph Angulo y Santa María, D. Francisco Gil de Bernabé, D. Antonio Vázquez de Aldana y del Aguila, D. Diego Estrada, D. Francisco de Paula Espinosa de los Monteros y D. Gabriel Narciso Pantoja. Y en los de infantería de Sabóya, Extremadura y Ordenes Militares, á los Cadetes de</t>
  </si>
  <si>
    <t>Vázquez, Fernando</t>
  </si>
  <si>
    <t>Fernando Vázquez</t>
  </si>
  <si>
    <t>al Teniente Coronel D. Francisco Xavier de Mendiri, Sargento mayor del de Avila: en el de Orense á D. Fernando Vázquez, Capitán del de infantería de Toledo: en el de Tuy al Teniente Coronel D. Ramón Gómez, Capitán del de Navarra: en el de Betanzos á D. Nicolás Cortés, Capitán del de la Corona:: en</t>
  </si>
  <si>
    <t>Vázquez, Francisco</t>
  </si>
  <si>
    <t>Francisco Vázquez</t>
  </si>
  <si>
    <t>a de las Ciencias de Lisboa &amp;c. : nueva traducción, mejorada en el estilo y en los versos por el P. D. Francisco Vázquez, Clérigo reglar de S. Cayetano , Lector de teología; hecha con acuerdo y aprobación del mismo P. Almeyda, quien para este fin remitió un exemplar en portugués de la última edición</t>
  </si>
  <si>
    <t>stribuidos para cada dia del mes, sacados de un manuscrito latino y puestos en castellano por el P. D. Francisco Vázquez, Clérigo reglar de S. Cayetano. Esta es una obrita espiritual que ensena el camino de la perfección por el estilo de las obras de Kempis en la Imitación de Christo , y por el méto</t>
  </si>
  <si>
    <t>Vázquez, Joseph</t>
  </si>
  <si>
    <t>Joseph Vázquez</t>
  </si>
  <si>
    <t>Dignidad de Tesorero de la catedral de Cuba, vacante por fallecimiento de D. Manuel de Otamendi, á D. Joseph Vázquez , Tesorero electo de la de Sto. Domingo, Cura que fué de la villa de Daxabon en la misma isla. En la sala de Comendadoras de Calatrava de esta corte se tuvo el 3 de Julio próximo</t>
  </si>
  <si>
    <t>Vázquez, Juan</t>
  </si>
  <si>
    <t>Juan Vázquez</t>
  </si>
  <si>
    <t>ronel D. Joaquín Barbaza, Capitán de granaderos mas antiguo del de Sigiienza; y en el de Monterey á D. Juan Vázquez, Ayudante del de Composteía. En atención á lós méritos, y circunstancias de D. Raymundo Onís, se ha dignado el Rey concederle honores de Intendente de exército.. S* M. se ha servi</t>
  </si>
  <si>
    <t>D. Antonio Laso de la Vega, al de igual clase D. Juan Bertendona y al Sargento primero distinguido D. Juan Vázquez: en el de Santiago Sargentía mayor al Capitán, graduado de Teniente Coronel; D. Nicolás Pastor; Compañía al Ayudante, graduado de Capitán, D. Lúeas Portillo, y Ayudantía al Tenien</t>
  </si>
  <si>
    <t>Vázquez, Manuel</t>
  </si>
  <si>
    <t>Manuel Vázquez</t>
  </si>
  <si>
    <t>rdenes á la-casa de comercio de esta , que les acomode, ó á los fabricantes D. Juan Manuel Romero , D. Manuel Vázquez y'D. Simón de Plá , dando el competente tiempo para su apresto, si se pidiere cantidad de mucha consideración. La Sociedad, por su parte, dispondrá lo conveniente á fin de que se fa</t>
  </si>
  <si>
    <t>vila, Santiago, Ecija y Jaén yá los de fusileros D. Joseph Aquilino Barbachano, D. Ramón Ribadulla, D. Manuel Vázquez y D. Antonio Barrionuevo; y ha nombrado Subtenientes de bandera dé los dé Sigüenza y Bujalance á D. Fernando Barbaza y D. Joseph Ximenez. En América. S. M. se ha servido nombrar para</t>
  </si>
  <si>
    <t>Vázquez, Pedro</t>
  </si>
  <si>
    <t>Pedro Vázquez</t>
  </si>
  <si>
    <t>cuerpo: á empleo de esta, clase en el de Betanzos al Capitán de infantería y Teniente de granaderos D. Pedro Vázquez : á Tenientes de granaderos en los de Ronda y Córdoba á los de fusileros D. Mariano Cañestro y D. Manuel de Gracia: á Subtenientes de granaderos en los de Avila, Santiago, Ecija y</t>
  </si>
  <si>
    <t>Ve, Luis</t>
  </si>
  <si>
    <t>Luis Ve</t>
  </si>
  <si>
    <t>ero, D. Ramón de la Rocha y D. Juan Pi-¡ rez, Capitanes primeros; a esta clase á D. Manuel de Hita, D. Luis Ve-, yan y D. Luis Laviña, Capitanes segundos; y á esta á los Tenientes Don Luis Valanzat y D. Juan Palomino. En América. Iil Rey se ha servido nombrar para una Ración de laí catedral</t>
  </si>
  <si>
    <t>Vega y de Sentmanat, Joseph</t>
  </si>
  <si>
    <t>Joseph Vega y de Sentmanat</t>
  </si>
  <si>
    <t>oretana publicada por la gazeta de Madrid de 15 de Julio de 1785 , y otra sobre el mismo asunto de D. Joseph Vega y de Sentmanat: un tomo en 4.0 mayor. Se hallará en la librería de Ranz , calle de la Cruz. Método nuevo y fácil para que los niños aprendan' las letras, y de ellas formen sílabas y palabras por</t>
  </si>
  <si>
    <t>Vehy, Francisco</t>
  </si>
  <si>
    <t>Francisco Vehy</t>
  </si>
  <si>
    <t>elt en el primer batallón de voluntarios de Cataluña empleo do. segundo Capitán al segundo Ayudante Don Francisco Vehy; y en el de voluntarios de Navarra el de Capitán primero al Teúiente de granaderos dél regimiento de Navarra, graduado de Capitán , D, Jayme Oliver, Jin América, . En el cuerpo de</t>
  </si>
  <si>
    <t>Velarde, Nicolás</t>
  </si>
  <si>
    <t>Nicolás Velarde</t>
  </si>
  <si>
    <t>de la parroquia de S. Miguel de los Navarros de la ciudad de Zaragoza, vacante por fallecimiento de D. Nicolás Velarde, á Don Joseph Biul: para otro de la villa de Valls, diócesis de Tarragona, vacante por muerte de D. Juan Miró, á D. Juan Mas y Gabaldá; y para otro de la parroquia de Sarreal, en</t>
  </si>
  <si>
    <t>Velasco, Ángel</t>
  </si>
  <si>
    <t>Ángel Velasco</t>
  </si>
  <si>
    <t>á D. Agustin Galocha Gutiérrez: para otra de la Catedral de Palencia, vacante¡por fallecimiento de D. Angel Velasco, á D. Manuel Castalio: para otra de la de Guadix , vacante por muerte de D. Gumesindo Ortiz, á D. Benito Caballero,, Gobernador, Provisor y Vicariorgeneral de aquel obispado: f&gt;ar</t>
  </si>
  <si>
    <t>Velazquez de Silva, Diego</t>
  </si>
  <si>
    <t>Diego Velazquez de Silva</t>
  </si>
  <si>
    <t>árcel de corte , id.222:Vista del puente de Toledo, id. =2Estampas de retratos de Pablo de Céspedes,D. Diego Velazquez de Silva, Don Antonio Palomino , de la Reyna Doña Juana, de Carlos v , de Felipe nr , de Felipe iv ,' d*e Felipe v, y de Fernando el vi, á 4 j^s. cada, uno , y el de Carlos nr á 2 rs. i Hi</t>
  </si>
  <si>
    <t>Velez Frías, Joseph Joaquín</t>
  </si>
  <si>
    <t>Joseph Joaquín Velez Frías</t>
  </si>
  <si>
    <t>el lugar de Santa María de Mercadillo, de la misma diócesis de Burgos, vacante por fallecimiento de D. Joseph Joaquín Velez Frías, á Don Manuel Pineda: para otro Beneficio simple servidero de S. Andrés de la villa deCuellar, en la diócesis de Segovia, vacante por muerte de D. Tornas del Valle, á D. Manuel Bu</t>
  </si>
  <si>
    <t>Velez, Joseph</t>
  </si>
  <si>
    <t>Joseph Velez</t>
  </si>
  <si>
    <t>itán, D. Luis Giglioti; Tenencia al Alférez D. Eustasio Albornoz , y él empleo de Alférez al Cadete D. Joseph Velez: en el de cazadores de Pa-V vía Tenencia ál Alférez D. Luis lriarte: en el de cazadores de Villaviciósa Compañía al Teniente D. Rafael !Miians, y Ayudantía al Teniente, graduado d</t>
  </si>
  <si>
    <t>Venderweid, General</t>
  </si>
  <si>
    <t>General Venderweid</t>
  </si>
  <si>
    <t>bóvedas subterráneas de la casa del Ayuntamiento á cargo de uno de sus miembros, que es Tellier. El General Venderweid, comandante en xefe de las tropas helvéticas, está para ir á París á exponer al gobierno francés la situación en que se hallan, faltándoles hace tiempo el prest, y no sabiendo á q</t>
  </si>
  <si>
    <t>Ventades y Martínez, Joseph</t>
  </si>
  <si>
    <t>Joseph Ventades y Martínez</t>
  </si>
  <si>
    <t>aplicación promoviendo-á Subtenientes del expresado Real cuerpo á D. Antonio de Hoces y Gutiérrez, D. Joseph Ventades y Martínez, D. Joseph Tabemet y Pavía, D. Antonio Isasi y Betevin, D. Antonio Casano y Dátoli, D. Mateo Chardenaux y Rodríguez, D. Pablo Argaiz y Aranguren, D. Pablo Ventades y Martínez, D.</t>
  </si>
  <si>
    <t>Ventades y Martínez, Pablo</t>
  </si>
  <si>
    <t>Pablo Ventades y Martínez</t>
  </si>
  <si>
    <t>Betevin, D. Antonio Casano y Dátoli, D. Mateo Chardenaux y Rodríguez, D. Pablo Argaiz y Aranguren, D. Pablo Ventades y Martínez, D. Agustín Salazar y Allendelagua, Don Juan Pusterla y Lerin, D. Pedro del Barco y la Cendeja, D. Francisco Saravia y Zuazo, D. Manuel Cebriaa y Castro, D. Antonio Esparza Go* mé</t>
  </si>
  <si>
    <t>Ventara Álvarez</t>
  </si>
  <si>
    <t>l de Osma, pensionada en la misma cantidad á favor de la propia Real capilla, vacante por muerte de D. Ventara Alvarez, á D. Félix Ximenez y Roxas:'para el Denato , primera silla de la catedral de Lugo , vacante por promoción de D. Benito de Lué y Riega á la Iglesia y Obispado de Buenos-Ayres, á D</t>
  </si>
  <si>
    <t>Vereterra, Joaquín</t>
  </si>
  <si>
    <t>Joaquín Vereterra</t>
  </si>
  <si>
    <t>e Hoces: á Capitán primero al Capitán segundo D. Francisco Sanchiz; y á Capitán segundo al Teniente D. Joaquín Vereterra. En atención á los méritos y servicios de D. Joseph del Rivero Ceva— líos , Administrador general de la Real renta de la lotería en Barcelona, se ha servido el Rey distinguirle co</t>
  </si>
  <si>
    <t>Vergaña, Joseph</t>
  </si>
  <si>
    <t>Joseph Vergaña</t>
  </si>
  <si>
    <t>co de Vera, D. Juaft Carvájo.y D. Joaquín de Vrana; á Subtenientes de granaderos á los de fusileros D. Joseph Vergaña, D. Mauricio Fornell y D. Joseph Vila; y á Subtenientes á los Cadetes D. Manuel Rodrigo, D. Francisco Joseph Celada, D. Martia Galáyn, D. Mariano Gri-I mau y D. Francisco de Paula</t>
  </si>
  <si>
    <t>Verges, Pedro Antonio</t>
  </si>
  <si>
    <t>Pedro Antonio Verges</t>
  </si>
  <si>
    <t>ugar de Villaverde, y el Arciprestazgo de Cea, en la diócesis de León, vacantes por la promoción de D. Pedro Antonio Verges ai Beneficio simple de Arjona, en la diócesis de Jaén, á D. Manuel Cañivano y Contreras: para otro Beneficio de Contreras, en el Arciprestazgo de Silos, y el de Palazuelos, en el</t>
  </si>
  <si>
    <t>Verheul</t>
  </si>
  <si>
    <t>regalado el primer Cónsul, una berlina preciosa, con 4 hermosos caballos. — El ciud. Verheul, oficial de la; antigua marina holandesa, ha sido; nombrado Edecán del primer Cónsul, y le lian dado 10 luises para equiparse. v . * \:, -" . Bastíea 7 de Novi</t>
  </si>
  <si>
    <t>Vernaci, Juan</t>
  </si>
  <si>
    <t>Juan Vernaci</t>
  </si>
  <si>
    <t>obierno de los navegantes que los freqüentan. Ultimamente se ha dado comisión al Capitán de Fragata D. Juan Vernaci y al Teniente de Navio D. Isidro Cortazar, para que se embarquen en la fragata Ifigenia, que despacha la Compañía de Filipinas d las costas de Coromandel, desde donde por el estrech</t>
  </si>
  <si>
    <t>Verry, Francisco</t>
  </si>
  <si>
    <t>Francisco Verry</t>
  </si>
  <si>
    <t>Diaconíl de la parroquia de Torruella de Mongrí, diócesis de Gerona , vacante por fallecimiento de D. Francisco Verry, á Don Salvador Mont. En la Real Compañía de Alabarderos se ha servido promover el Rey á primer Teniente al Mariscal de Campo Marques de Campo Real y Peñafuenté , segundo Teniente</t>
  </si>
  <si>
    <t>Veza, Juan Bautista</t>
  </si>
  <si>
    <t>Juan Bautista Veza</t>
  </si>
  <si>
    <t>: el segundo premio de figura de cuerpo entero á DonVicente Aparicio : el tercer premio de cabeza á D. Juan Bautista Veza con 7 votos, y obtuvo 2 votos D. V ícente García de Burunda: el quarto premio de mano y pie á D. Juan Antonio Berenguer. El concurso fué muy lucido, y todos quedaron complacidos a</t>
  </si>
  <si>
    <t>Viana, Francisco</t>
  </si>
  <si>
    <t>Francisco Viana</t>
  </si>
  <si>
    <t>mpleo de Ayudante-Inspector de los presidios de las provincias internas del Reyno de Nueva España á D. Francisco Viana, Capitán del regimiento de dragones de España, íixo del mismo Reyno; y la Compañía que este dexa á D. Ramón Amesti, Capitán primero de la primera compañía fixa de Artillería de la</t>
  </si>
  <si>
    <t>Vicario, Rafael Maria</t>
  </si>
  <si>
    <t>Rafael Maria Vicario</t>
  </si>
  <si>
    <t>para otro'1 nuevamente erigido en la .parroquia de Santa Cara, en la propia diócesis de Pamplona, á D. Rafael Maria Vicario del lugar de Arteaga, en aquella diócesis: para otro de la par roquia de Fuentes de Valdeperp, diócesis de Palencia, vacante por fall/ .cimiento de D. Matías Gómez, á D. Angel Roxo Re</t>
  </si>
  <si>
    <t>Vicent, Juan</t>
  </si>
  <si>
    <t>Juan Vicent</t>
  </si>
  <si>
    <t>y Quixano: para una Canongía que se halla vacante en la propia catedral de Orihuela, por muerte de D. Juan Vicent, á D. Joseph Pujante y García, Cura de la parroquial de S. Miguel de la ciudad de Alcaraz, en el arzobispado de Toledo; y para otra Canongía de la colegial de Guisona, diócesis de</t>
  </si>
  <si>
    <t>Vicenta Gomet</t>
  </si>
  <si>
    <t>en pendiente en dichos autos D. Antonio Garly , Mr. Gasin,como apoderado de D. Antonio Horme Salet, Doña Vicenta Gomet, como heredera de D. Juan Bautista 'Fabrega, Doña Isabel de la Plaza y Doña María Magdalena Chipa , como viuda» y heredera de D. Pedro Abacin, se hace saber á estos acudan á la ci</t>
  </si>
  <si>
    <t>Vicenta Manuela de Aguirre</t>
  </si>
  <si>
    <t>udan al Consejo supremo de la Guerra á deducir su derecho. En Agosto de 1800 falleció en esta corte Doña Vicenta Manuela de Aguirre, natural de la ciudad de S. Sebastian, y en su última disposición dexó cierto legado á una nieta de Doña J&lt; sepha Antonia de Aguirre, natura! y residente en dicha ciudad, cuyo par</t>
  </si>
  <si>
    <t>VicenteNovoa</t>
  </si>
  <si>
    <t>rio y Liaría, del comercio de Sevilla, remitieron por el correo en 15 de Diciembre del año último á D. VicenteNovoa , Teniente y Habilitado del regimiento de caballería del Rey, i.° de línea, con destino á Valencia dei Cid , un vale Real de 300 pesos, creación de i.° de Setiembre, núm. 60606 co</t>
  </si>
  <si>
    <t>Víctor Soret</t>
  </si>
  <si>
    <t>Cid , un vale Real de 300 pesos, creación de i.° de Setiembre, núm. 60606 con endoso á su favor por D. Víctor Soret, á cuyo nombre se halla despachado; y habiendo padecido extravío se da este aviso para su devolución, en Sevilla á los mismos Monasterio y Liaría, .y en Madrid al D. Vicente Novoa</t>
  </si>
  <si>
    <t>Víctor, General</t>
  </si>
  <si>
    <t>General Víctor</t>
  </si>
  <si>
    <t>rechazar los ataques que intentare la Inglaterra contra nuestro comercio ó en nuestras costas___El General Víctor ha transferido ayer su quartei general áDelft cerca de esta ciudad. París 2j de Junio. E 1 Cardenal Arzobispo de París, sus Vicarios generales y capítulo, varios empleados, xefes</t>
  </si>
  <si>
    <t>emos con la. dulce: esperanza de la gloria futura^ *• r; i - ;; r -a Bruselas 14 de Agosta. 1 I 1.1 General Víctor, Comandante en xefe de las tropas galo-bátavas, ha dado orden para que todas las islas de Zelanda se pongan con prontitud en un estado de defensa respetable; en virtud de lo qual</t>
  </si>
  <si>
    <t>Victor, General</t>
  </si>
  <si>
    <t>General Victor</t>
  </si>
  <si>
    <t>yo número asciende á 22$ hombres. El 8.° regimiento de cazadores á cabaílo compondrá la guardia del General Victor, que parece destinado al mando de la división que ha de embarcarse en los puertos de Holanda y de Zelanda para unirse á la expedición proyectada contra la Inglaterra. El General d</t>
  </si>
  <si>
    <t>Víctor, Teniente General</t>
  </si>
  <si>
    <t>Teniente General Víctor</t>
  </si>
  <si>
    <t>prorogase el Parlamento hasta el ó de Octubre próximo. Haya 2,4 de Agosto* E 1 quartel general del Teniente General Víctor se ha transferido por unos 8 dias á Alkmaer , adonde ha pasado este General con Dumonceau y otros muchos oficiales superiores. Allí se .tomarán las disposiciones necesarias para e</t>
  </si>
  <si>
    <t>Victorio Aifien, Conde</t>
  </si>
  <si>
    <t>Conde Victorio Aifien</t>
  </si>
  <si>
    <t>vo se pondrá en execucion. Milán 12 de Octubre. £ 1 dia 8 de este mes murió en Florencia el célebre Conde Victorio Aifien, cuyo nombre hará honor eterno á la Italia. La Condesa de Albani, es la depositaría de sus manuscritos, entre ios quales se dice que hay mu* chas comedias, y una tragedia de Alces</t>
  </si>
  <si>
    <t>Vida Guadalupe, Juliana</t>
  </si>
  <si>
    <t>Juliana Vida Guadalupe</t>
  </si>
  <si>
    <t>entregue en Madrid á dicha Señora, ó en Santofia al expresado Campo. • En el testamento que otorgó Dona Juliana Vida Guadalupe á nombre de su marido D.Juan López de Sedaño, vecino de Madrid, se halla.un legado de 2200 rs8.á favor de D. Gregorio Lozano, también vecino de Madrid; y no sabiéndose su destino</t>
  </si>
  <si>
    <t>Viera y Clavijo, Nicolás</t>
  </si>
  <si>
    <t>Nicolás Viera y Clavijo</t>
  </si>
  <si>
    <t>e la de Osma, á D. Gil Pasqueda: para otra de la catedral de Canaria, que vacó por fallecimiento de D. Nicolás Viera y Clavijo, á D. Joseph Francisco Borbujo: para otra de la colegial de Cardona, ditScesis de Sobona, á D., Miguel Caballería y Mom-par; y para tina Ración de la parroquial del lugar de Lagun</t>
  </si>
  <si>
    <t>Vigil de Quiñones, Manuel</t>
  </si>
  <si>
    <t>Manuel Vigil de Quiñones</t>
  </si>
  <si>
    <t>onde dé Santa' Clara: para el Gobierno de: la plaza de Hostalrich al Coronel D. Manuel Vigil de Quiñones , Teniente Coronel agregado en el regimiento de infantería de Navarra; y para el de la villa de Martes y su partido, territorio de la orden de Cálatrava, al Coronel D. Francisco Portillo, Go</t>
  </si>
  <si>
    <t>Vila, Andrés</t>
  </si>
  <si>
    <t>Andrés Vila</t>
  </si>
  <si>
    <t>no y compañía, en Barcelona á D. Domingo Casánovas, calle de Ja Merced,, y en Centellas al referido D. Andrés Vila.. _ ___ _ A / y no habiendó^ legado af interesado,' se suplica- a! súgeto en cuyo poder se halle le entregúe á'dicha Gaflvó en Búrgos, ó al referida Corral en Madrid, calle de los</t>
  </si>
  <si>
    <t>Vila, Francisco</t>
  </si>
  <si>
    <t>Francisco Vila</t>
  </si>
  <si>
    <t>ón de infantería ligera de Voluntarios de Cataluña el empleo de primer .Ayudante al Capitán segundo D. Francisco Vila. También ha promovido S. en el de infantería de Córdoba á Subtenientes de bandera á los Cadetes D. Pedro Fierra y D. Joseph de Montes: á Teniente en ei de Mallorca al Subteniente</t>
  </si>
  <si>
    <t>D. Manuel Laguna; y en el batallón de Voluntarios de Cataluña á primer Ayudante al Capitán segundo D. Francisco Vila, y á Capitán segundo al Teniente de Voluntarios de Barcelona D. Cárlos Ribas. Asimismo se ha servido. S. M. promover en el regimiento de infantería de Córdoba á Teniente al Subten</t>
  </si>
  <si>
    <t>Villa y Torre, Joseph</t>
  </si>
  <si>
    <t>Joseph Villa y Torre</t>
  </si>
  <si>
    <t>rar para una plaza de Alcalde del crimen de la Chancillería de Valladolid, vacante por promoción de Don Joseph Villa y Torre á otra de Oidor del mismo Tribunal, á D. Tadeo Manuel Delgado de A rellano; y para el Corregimiento político de la ciudad de Córdoba, por fallecimiento de D. Gregorio Guazo Gutiér</t>
  </si>
  <si>
    <t>Villaiba, Manuel</t>
  </si>
  <si>
    <t>Manuel Villaiba</t>
  </si>
  <si>
    <t>os D. Laureano Vega y D. Lorenzo Bona, y á Subtenientes de bandera á los Cadetes D. Julián Padilla, D. Manuel Villaiba y D. León Torralbo , y al Sargento primero D.Francisco García. El Rey se ha servido conferir el empleo de Capitán del cuerpo veterano de infantería de Guayana al Ayudante mayor de él</t>
  </si>
  <si>
    <t>Villalba, Francisco</t>
  </si>
  <si>
    <t>Francisco Villalba</t>
  </si>
  <si>
    <t>stroAemostrador ,..comisionó la .junta á los .Sres.. Consiliarios de.ella Marques; de Bondad Rea! y.D. Francisco Villalba para presidir las públicas oposiciones de los indicados premios. En efecto, se veriíicáron estos actos desde el dia 19 de Abrí!.hasta 29 dé él inclusive, entre 29 practicantes mat</t>
  </si>
  <si>
    <t>Villalba, Joaquín</t>
  </si>
  <si>
    <t>Joaquín Villalba</t>
  </si>
  <si>
    <t>autores nacionales que han escrito sobre esta materia, así en la península como fuera de ella, por D. Joaquin Villalba, cirujano militar agregado al Real colegio de cirugía de S. Cirios: obra original y íioica en su clase, en la que se manifiesta el principio y origen de tan diversos males y sus c</t>
  </si>
  <si>
    <t>Villalobos, Joseph</t>
  </si>
  <si>
    <t>Joseph Villalobos</t>
  </si>
  <si>
    <t>nidad de Capiscol deja colegial de Cervatos, en la diócesis de Burgos, vacante por fallecimiento de D. Joseph Villalobos, á D. Juan Gómez de Ro-&gt; bles: para la Ración de la catedral de Calahorra, vacante por muerte de IX Manuel Romero, á D. Diego Landivar: para el Beneficio del lugar de Palacios de</t>
  </si>
  <si>
    <t>o, á D. Ramón de Quevedo: para el Préstamo de Matamorosa-vacante en la misma diócesis por muerte de D. Joseph Villalobos, á D. Juan Gómez Robles: para otro de Pesquera de Duero, en el obispado de Palencia, vacante por fallecimiento de D. Baltasar Carlos Miñano, á D. Juan García Perez: para el Arcipr</t>
  </si>
  <si>
    <t>Villalonga, Lucas</t>
  </si>
  <si>
    <t>Lucas Villalonga</t>
  </si>
  <si>
    <t>se ha servido conferir el Rey en el regimiento de infantería de Africa Tenencias á los Subtenientes D. Lucas Villalonga y D. Cayetano Taforo: en el de Sevilla Compañía al Teniente de granaderos, graduado de Capitán, D. Domingo del Sastre: en el de Valencia Subtenencia de bandera al Sargento primero de</t>
  </si>
  <si>
    <t>Villante, Joseph</t>
  </si>
  <si>
    <t>Joseph Villante</t>
  </si>
  <si>
    <t>Subteniente de granaderos al de fusileros D. Juan de Urquidi, y á Subteniente de bandera al Cadete D. Joseph Villante. El Rey se ha servido conferir la Comandancia del batallón de Milicias disciplinadas de Pardos de Valencia, en la provincia de Venezuela, á D. Francisco de la Peña, Capitán del re</t>
  </si>
  <si>
    <t>Villanueva, Joaquín Lorenzo</t>
  </si>
  <si>
    <t>Joaquín Lorenzo Villanueva</t>
  </si>
  <si>
    <t>azeta de 29 de Marzo último. Dominicas, ferias y fiestas movibles del Año christiano de España: por Don Joaquín Lorenzo Villanueva, Capellán de honor y Predicador de S. M. ,.y Rector de los Reales hospitales: tomo ó.° y último qua comprehende las misas votivas. Se hallará con los 5 anteriores y Jos 13 del Año</t>
  </si>
  <si>
    <t>Villasante, Joseph Alonso</t>
  </si>
  <si>
    <t>Joseph Alonso Villasante</t>
  </si>
  <si>
    <t>ciudad de Calahorra á D. Cáelos Cea. y Avalle : para l!a Vara de Alcalde mayor de la de Purehena i D. Joseph Alonso Villasante: para la de la villa de Medelllft á D. Vicente Alonso de Anira&amp;e: para la de la de Villarejo de Fuentes á D. Joseph de Abreu y del Moral:, para la de la de Yecla á D. Francisco de</t>
  </si>
  <si>
    <t>Villaseñor, Joseph Andrés</t>
  </si>
  <si>
    <t>Joseph Andrés Villaseñor</t>
  </si>
  <si>
    <t>ientes de granaderos en los de Sigiienza, Alcázar y Laredo, á los de fusileros D. Fernando Barbaza, D. Joseph Andrés Villaseñor y D. Joseph de Colina Víllanueva; y ha nombrado Subtenientes, de bandera en los de Jaén, Sigiienza, Burgos, Ecija, Bujalance, Plasencia'yXoria, á D. Joseph de la Peña y Benítez, D. Jo</t>
  </si>
  <si>
    <t>Villeteret, General</t>
  </si>
  <si>
    <t>General Villeteret</t>
  </si>
  <si>
    <t>que en las circunstancias actuales no podía acceder á ello, por ser absolutamente necesario que el General Villeteret y yo ocupemos este palacio para los negocios de oficio de nuestros respectivos departamentos. También puede acordarse V. E. que al mismo tiempo le ofrecí el palacio de la Boschetta pa</t>
  </si>
  <si>
    <t>Viñals, Juan</t>
  </si>
  <si>
    <t>Juan Viñals</t>
  </si>
  <si>
    <t>cha y D. Cayetano Ribas; á Capitanes segundos á los Tenientes D. Jo-^ seph de Power, de granaderos, D. Juan Viñals, D. Luis de Lara, D. Joseph Salazar, D. Joseph de la Espada, D. Esteban Fernandez y D. Juan Dávila; á Tenientes de granaderos á los de fusileros D. Joaquín Goyena y D. Bartolomé L</t>
  </si>
  <si>
    <t>Virues, Cayetano</t>
  </si>
  <si>
    <t>Cayetano Virues</t>
  </si>
  <si>
    <t>Nicolás González y D. Diego Carbonell: en el de la Reyna Compañía al Ayudante, graduado de Capitán, D. Cayetano Virues: en el de Voluntarios de Castilla Subtenencia de bandera al Cadete D. Juan Perez de Lema: en el de Córdoba Compañía al Teniente de granaderos del mismo, graduado de Capitán, D. Ma</t>
  </si>
  <si>
    <t>Virues, Francisco</t>
  </si>
  <si>
    <t>Francisco Virues</t>
  </si>
  <si>
    <t>aduado ae Capitán, D. Jacinto Cabestan: Ayudantía en el de España al Capitán D. Francisco Virues, Teniente del mismo cuerpo: Subtenencias en el de Valencia al Sargento primero D. Andrés Sánchez, y á los Cadetes D. Joseph María y D. Joaquín Vidal y Bou: Ayudantía en el de Guadalaxara al</t>
  </si>
  <si>
    <t>Virues, Joseph</t>
  </si>
  <si>
    <t>Joseph Virues</t>
  </si>
  <si>
    <t>to primero de granaderos D. Manuel Moreno, y á Teniente en^l de España al Subteniente de granaderos D. Joseph Virues. , ■ En América. S. M. se ha servido nombrar para la Dignidad de Chantre de la catedral de Quito, vacante por fallecimiento de D. Tadeo Joseph Orozco, á D. Joaquín de Sotomayor ,</t>
  </si>
  <si>
    <t>Viseen</t>
  </si>
  <si>
    <t>« nombrar para upa plaza de Agente del número de Indias,, vacante por muerte de D. Diego Borrero, á D. Viseen te Mend izaba!. -¡m . Para celebrar las diez extracciones ordinarias de la Real latería en el año próximo de 1804, y las dos extraordinarias, ha señalado S. M. los dias siguientes</t>
  </si>
  <si>
    <t>Vital, Juan</t>
  </si>
  <si>
    <t>Juan Vital</t>
  </si>
  <si>
    <t>en el regimiento de infantería de Borbon Subtenencias.de bandera al Sargento primero de granaderos D. Juan Vital deBernoqui, y a jos Cadetes, D. Gerónimo Riera y Don •Isaac Eañdaburu, este del Real cuerpo, de Guardias de infantería Española. En el Real cuerpo de: Artillería se ha dignado el Rey</t>
  </si>
  <si>
    <t>Viu, Joseph</t>
  </si>
  <si>
    <t>Joseph Viu</t>
  </si>
  <si>
    <t>para eí Medio-Préstamo de la villa de loeches, en la diócesis de Toledo , vacante por promoción de D. Joseph Viu á una Canongía de la metropolitana de aquella ciudad, á D* Víctor Cano.</t>
  </si>
  <si>
    <t>Bustamante : para otro de la parroquia de Móstoles, arzobispado de Toledo, vacante por promoción de D. Joseph Viu á una Canongía de la metropolitana de Toledo, á D. Pedro Angel dél Trell, con la:obliaa7 cion de precisa y personal residencia: para el Préstamo de Villamedia-í na, en la diócesis</t>
  </si>
  <si>
    <t>Vivaldo, Miguel</t>
  </si>
  <si>
    <t>Miguel Vivaldo</t>
  </si>
  <si>
    <t>ado promover en el regimiento de Córdoba a Subteniente de bandera al Sargento primero de granaderos D. Miguel Vivaldo* en el de Zaragoza á Subteniente de bandera al Cadete del de infantería de España D. Antonio Delgado: en dicho regimiento de España á Teniente al Subteniente de granaderos D. Fran</t>
  </si>
  <si>
    <t>VVarren, Almirante</t>
  </si>
  <si>
    <t>Almirante VVarren</t>
  </si>
  <si>
    <t>na fragata británica, y dicen que va á Petersburgo para llevar á Inglaterra al Embaxador ingles, el Almirante VVarren, destinado á mandar una esquadra. La gazeta del comercio anuncia, que las desavenencias entre Dinamarca y la Regencia de Argel, se han terminado enteramente,. y que reyna la mejor</t>
  </si>
  <si>
    <t>VVindlrani-y</t>
  </si>
  <si>
    <t>venientes que de él habían de resultar..:.^ LLLord Hawkesbury censuró la conducta parlamentaria 'dé Mr. VVindlrani-y!de sus partidarios, sosteniendo que sus siniestros discursos podrían abatir los ánimos y desalentar la nación. No niega ei noble Lord que sea posible la premeditada.invasión, ni q</t>
  </si>
  <si>
    <t>Wagner de Magdebourgo</t>
  </si>
  <si>
    <t>uesto sobre el trigo á muchos pueblos de los contornos de Erfurt, en donde la piedra ha hecho daño. Mr. Wagner de Magdebourgo, acaba de descubrir y publicar generosamente una composición para dar a la loza común un barniz, que no es dañoso como el ordinario en que entra plomo. La preparación se</t>
  </si>
  <si>
    <t>Wallace</t>
  </si>
  <si>
    <t>cíones en el bilí de amotinamiento { mutiny-bill), las que fueron adoptadas----- En la junta del 23 Mr. Wallace presentó el informe de la comisión encargada de extender el discurso para felicitar á S. M. que se votó el día ántes, ei qual fue adoptado, y lo presentará la Cántara en cuerpo. L</t>
  </si>
  <si>
    <t>Walsingham, Lord</t>
  </si>
  <si>
    <t>Lord Walsingham</t>
  </si>
  <si>
    <t>iles que se leyéron por tercera vez pasaron , y se mandaron devolver á la Cámara ae los Comunes. El Lord Walsingham presentó algunas demandas contra el bilí relativo á las manufacturas ae lana, suplicando que los demandantes fuesen oídos por su Consejo; lo que se les concedió después de haber l</t>
  </si>
  <si>
    <t>Waltersdorf, General</t>
  </si>
  <si>
    <t>General Waltersdorf</t>
  </si>
  <si>
    <t>redericksteen, que se halla aquí de vuelta de América, habiendo llevado antes á Inglaterra al Mayor General Waltersdorf, ha encontrado en el canal y en el mar del Norte gran número de embarcaciones inglesas.___Hace algunos dias que ha pasado el Sund una fragata británica, y dicen que va á Petersbur</t>
  </si>
  <si>
    <t>Waltersdorff, General</t>
  </si>
  <si>
    <t>General Waltersdorff</t>
  </si>
  <si>
    <t>e ha muerto ya mucha gente. Según las últimas noticias de oficio de las Indias orientales, el Mayor General Waltersdorff entregará del 16 al 22 de Febrero último la Comandancia de las islas de Santo Tomas y S. Juan , al Gobernador gé</t>
  </si>
  <si>
    <t>Waltispiihl, Juan</t>
  </si>
  <si>
    <t>Juan Waltispiihl</t>
  </si>
  <si>
    <t>ler: en el de Rcding á Capitanes primeros al de granaderos Don Antonio Pedotty y al Capitán segundo D. Juan Waltispiihl; á Capitán segundo al Teniente de granaderos D, Manuel Gerig; ¿Ayudante al Teniente D. Fidel de Reding, y á Tenientes á los Subtenientes D. Joseph Kayser, de granaderos, y D. Balt</t>
  </si>
  <si>
    <t>Wames, Ignacio Joseph</t>
  </si>
  <si>
    <t>Ignacio Joseph Wames</t>
  </si>
  <si>
    <t>de caballería de blandengues de Montevideo se ha servido S. M. promover á Tenientes á los Alféreces D. Ignacio Joseph Wames, D. Isidro Félix de Quesada y D. Joseph Rondeau, En el mes de Marzo último , el mayor calor observado en Madrid, ha sido de 15 grados de Remmur, que se verificó el dia i.° del mes</t>
  </si>
  <si>
    <t>Watrin, General</t>
  </si>
  <si>
    <t>General Watrin</t>
  </si>
  <si>
    <t>strucciones cerradas del gobierno, para el General Rochambeau, en cuya busca ha salido un navio. El General Watrin ha partido para reemplazarle. Todo lo que estaba prevenido en las instrucciones del gobierno, se ha executado puntualmente___ El General Dugua., xefe del estado mayor , falleció á</t>
  </si>
  <si>
    <t>idos que mató. Ha pedido el General en xefe al primer Cónsul un sable de honor para este Oficial El General Watrin, uno de los mas distinguidos Oficiales de la h rancia , ha muerto en el fuerte Republicano, y el exe'rcito lia sentido su pérdida. También ha muerto el respetable Dugua, en cuya m</t>
  </si>
  <si>
    <t>Wauters, Juan</t>
  </si>
  <si>
    <t>Juan Wauters</t>
  </si>
  <si>
    <t>de la Peña: para el de Ayudante del regimiento de Milicias disciplinadas de Blancos de Cartagena á D. Juan Wauters, Teniente Veterano de infantería; y para-el de Ayudante del regimiento de infantería de Milicias disciplinadas de Guayaquil al Teniente Veterano D. Potenciano Cendreras. Asimismo</t>
  </si>
  <si>
    <t>Weher</t>
  </si>
  <si>
    <t>de astrónomo en la expedición rusa que ha de dar vuelta al mundo. Se ha notado con este motivo que Mr. Weher, que en calidad de pintor acompañó al célebre navegante Cook, era de Berna. G-énova 30 de Octubre. D os corsarios marroquíes han llevado á Tánger el 2 ? de Agosto un bergantín din</t>
  </si>
  <si>
    <t>Weikard</t>
  </si>
  <si>
    <t>dos opúsculos queda concluido el tratado práctico de las enfermedades esténicas y asténicas que el Dr. Weikard publicó en su Manual de Medicina-práctica, cuyo Manual el Dr. Brera traduxo al italiano con el título de Elementos de Medicina-práctica &amp;c. Estos opúsculos, á mas de tratar con ex</t>
  </si>
  <si>
    <t>Welb</t>
  </si>
  <si>
    <t>tré cerca de 5 ® hombres..— El 14 del mes pasadoTlegó (aijufc un navío de Alexandría con cartas de&lt; Mr. Welb pata el Inspector de los hospitales,' que contienen la triste noticia de los estragos que hace la peste en Jas ¡tropas que quedáron en Marabon.” Dias pasados se ha enviado¿ua tran</t>
  </si>
  <si>
    <t>Weller, Juan</t>
  </si>
  <si>
    <t>Juan Weller</t>
  </si>
  <si>
    <t>apitán, D. Antonio Campos; y Subtenencia en el regimiento Suizo vacante de Yann al Sargento primera D. Juan Weller. En América,. El Rey se ha servido nombrar para la Gañongía Doctoral de la catedral de Santiago de Chile, vacante por ascenso de D. Joseph Antonio Errazurriz á la Dignidad de Teso</t>
  </si>
  <si>
    <t>Wellesley, Lord</t>
  </si>
  <si>
    <t>Lord Wellesley</t>
  </si>
  <si>
    <t>l Cirujano y su Ayudante, dos Cadetes de marina, dos contramaestres, 27 marineros y 29 soldados. El Lord Wellesley ha mandado que se distribuyan medallas á los oficiales y soldados del batallón de voluntarios de Bengala, naturales del país, que han vuelto de la costa de Coromandel. Amsterdam 8</t>
  </si>
  <si>
    <t>Werner</t>
  </si>
  <si>
    <t>ros cantones, se ha decidido al fin por la afirmativa; y han sido nombrados los ciudadanos Werner, Hedlinger gr Belmont.__ El Senado helvético se halla reducido á unos 10 individuqs que continúan despachando los negocios. Todos los demas se encuentran en Pa</t>
  </si>
  <si>
    <t>Westmoreland, Lord</t>
  </si>
  <si>
    <t>Lord Westmoreland</t>
  </si>
  <si>
    <t>e S. M. los hombres de mayor talento. El Duque de Cumberland aprueba la administración presente. El Lord Westmoreland se empeña en probar que el Gabinete in-&lt; gles no ha sido el agresor , y que nada hay que temer en la presente guerra. Dice que se podia y debió á su tiempo restituir el Cabo, y qu</t>
  </si>
  <si>
    <t>Whitbread</t>
  </si>
  <si>
    <t>el Parlamento es fiel á la nación, es indudable que saldrá de esca lucha con gloria y felicidad.__ Mr. Whitbread apoyó con mucho calor el dictamen de su amigo Mr. Grey. Dixo que deseaba como él qué hubiese unanimidad, y que en caso de ser inevitable la guerra, se ayudase á S; M. con las vida</t>
  </si>
  <si>
    <t>Whitw, Lord</t>
  </si>
  <si>
    <t>Lord Whitw</t>
  </si>
  <si>
    <t>ni toman parte en los procederes del orgullo y de las vanas pretensiones de la primacía.__ S. E. el Lord Whitw.orth convino en escribir á su corte que eb primer Cónsul no podía dar slv consentimiento para qué sé violase* un tratado solemne , pero que quería la paz ; y que si el gobiertas y</t>
  </si>
  <si>
    <t>Whitword, Lord</t>
  </si>
  <si>
    <t>Lord Whitword</t>
  </si>
  <si>
    <t>xhowden, que ha entrado en el servicio en calidad de General de infantería. Londres 19 de Mayo. E I Lord Whitword ha llegado á Douwres, y un correo español que lo encontró ha traído cartas suyas para el Lord Hawkesbury. En la Cámara de los Pares presentó el 16 el Lord Pelham el mensage del Re</t>
  </si>
  <si>
    <t>dero espíritu de la negociación, y gradúa dé descaro, y aun de locura, haber cmitido'en la nota del Lord Whitword del 10 de Mayo, insertada en la pág. 112, el pasage mas esencial. Para manifestar la infidelidad copia el Monitor en dos cólutas la nota original entregada por el ■Embaxador ingles al</t>
  </si>
  <si>
    <t>Whitworth de Paris, Lord</t>
  </si>
  <si>
    <t>Lord Whitworth de Paris</t>
  </si>
  <si>
    <t>egocios, no pudo entonces preveer ciertas circunstancias inesperadas que han impedido la salida del Lord Whitworth de Paris. La Cámara (añadió) no espera sin duda que yo le explique quales son estas nuevas circunstancias. En quanto á mí no dudo de que muy pronto se decidirán los puntos controvertidos e</t>
  </si>
  <si>
    <t>Whitworth, Lord</t>
  </si>
  <si>
    <t>Lord Whitworth</t>
  </si>
  <si>
    <t>a procedido conforme á las órdenes que ha recibido del gobierno francés, y en el supuesto de que el Lord Whitworth había salido de Paris. El gobierno británico ha enviado últimamente á Francia sus últimas proposiciones, y se esperaba la respuesta; pero no se ha recibido. Los Ministros de S. M.</t>
  </si>
  <si>
    <t>onveniente en que la Cámara diese punto, pues era imposible informarla de nada ántes que llegase el Lord Whitworth.”__ Otros vocales hablaron en pro y en contra; y el Secretario de la Guerra dixo: ,, Yo pienso que la Cámara debe atender á su propia dignidad; que no debe hacer lo que es contra</t>
  </si>
  <si>
    <t>o formidable, ni en os puertos de tranca m en los de Holanda. El infrascrito no recordara a S.E. el Lord Whitworth todo lo que entonces se dixo. Preguntábase de donde habían poa.dq salir informes tan mal fundados. El discernimiento personal de Lord Whitworth y su buena fe no podían sospecharse</t>
  </si>
  <si>
    <t>na nota pidiendoT la explicación. Al mismo tiempo el infrascrito tuvo orden de preguntar á S. E. el Lord Whitworth los motivos que habían determh. nado al gobierno ingles á suponer en su mensage las dos proposiciones ambas falsas, para convocar á su nación á tomar las armas , y romper el vinculo'</t>
  </si>
  <si>
    <t>a los Ministros de los dos gobiernos no habian podido llegar á abrir una verdadera negociación. —£1 Lord Whitworth recibió nuevas órdenes , y presentó sucesivamente dos proyectos de convenio. Por el primero se pedia que Malta permaneciese baxo la soberanía del Rey de Inglaterra; y adoptada asi</t>
  </si>
  <si>
    <t>ia de nuestros derechos y al sentimiento de nuestras fuerzas?_-El infrascrito al exponer á S. £. el Lord Whitworth estas observaciones, se cree con el derecho de notar que la conducta moderada de toda la administración francesa por dos meses enteros de continuas y ofensivas provocaciones, no obs</t>
  </si>
  <si>
    <t>uanto á la substancia dél ultimátum propuesto, el infrascrito tiene el honor de recordar á S. E. el Lord Whitworth, como estaba encargado de declarar, en nota que se Je entregó el 2 de Mayo , que el primer Cónsul miraba con indiferencia las amenazas y las Injurias, y tampoco atendía á la falta</t>
  </si>
  <si>
    <t>.__A esta nota, cuya expresión y exactitud solo respiraban equidad , paz y moderación, respondió el Lord Whitworth pidiendo sus pasaportes en término perentorio, e informando que pensaba hacer uso de ellos el miércoles 4 de Mayo á las cinco de la mañana__ —El gobierno francés sintió profundame</t>
  </si>
  <si>
    <t>$4 .complace en confundir la mala fe, dispuso que en la misma hora , en el mismo instante en que el Lord Whitworth entregaba su nota, llegase un correo de Rusia dirigido á los Plenipotenciarios de aquella potencia en Paris y Londres, manifestando S. M. el Emperador de Rusia, con particular energ</t>
  </si>
  <si>
    <t>tereses de su dignidad y de sú poder. El infrascrito se halla pues encargado de declarar á S. E. el Lord Whitworth , que en Francia no se admitirá ninguna comunicación que no esté arreglada en el sentido y en la forma, á los usos observados entre las grandes potencias; y á los principios de en</t>
  </si>
  <si>
    <t>luyese en las negociaciones. El día 14 el Secretario de Estado participó al Lord Corregidor como el Lord Whitworth debía salir de Paris el juéves por la noche. Hay noticias de Bombay que los estrechos de Dryan y de Syncapore, están infestados de piratas que han apresado muchas embarcaciones, y te</t>
  </si>
  <si>
    <t>ha ofrecido para conservarla todos los sacrificios compatibles con el honor y dignidad nacional. El Lord Whitworth partió llevando todavía proposiciones qüe, por su naturaleza habían de convencer á su gobierno de la constante disposición de la'Francia: que podían prevenir un romr pimiento abso</t>
  </si>
  <si>
    <t>Whitwórth, Lord</t>
  </si>
  <si>
    <t>Lord Whitwórth</t>
  </si>
  <si>
    <t>gobierno francés en orden á la detención de sus tropas en Holanda. Los Ministros repitieron que el Lord Whitwórth solo había hecho representaciones verbales-, á que el gobierno francés no había contestado. Varios miembros insistieron con empeño en que se explicasen los Ministros acerca de los</t>
  </si>
  <si>
    <t>y aun también en vista de la genuina contestación del primer Cónsul mismo en su conferencia con el Lord Whitworth. Por tanto S. M. estaba autorizado para pensar que el gobierno francés tenia la determinación de violar aquellos artículos del tratado de paz que estipularon la integridad é indep</t>
  </si>
  <si>
    <t>ad de Hamburgo acerca dei cabildo de dicha ciudad. .¿..Hemos recibido el 12 la noticia d&gt;e haber el Lord Whitworth pedido sus pasaportes en París; y con ella han tomado nuevo vigor nuestras especulaciones. _E1 mismo dia se hicieron grandes negociaciones de granos. Francfort 20 de Mayo. E 1 Ele</t>
  </si>
  <si>
    <t>onvenido ceder á Malta...... Pasando después á la conversación que hubo entre el primer Cónsul y el Lord Whitworth, dice acerca de Malta, que sin razón se les acusa de no haberla querido evacuar, porque no se había pactado cederla á la Francia, sino á la orden de. S. Juan: que había estipulaci</t>
  </si>
  <si>
    <t>miens, y nos advertía de su intención de violarlo al primer momento : y el lenguage que tuvo con el Lord Whitworth el. 21 -de Febrero anadia nueva confirmación á las sospechas anteriores. En negarnos á evacuar á Malta, solo pedimos una seguridad adicional. Oirecimos acomodarnos 4 qualquier otro</t>
  </si>
  <si>
    <t>Whitworthqueinmediatamente, Lord</t>
  </si>
  <si>
    <t>Lord Whitworthqueinmediatamente</t>
  </si>
  <si>
    <t>stos, en los quales tenia tal vez derecho de pedirla por su parte. Al entregar este oficio pidió el Lord Whitworthqueinmediatamente se hiciese un ajuste sobre las basas mencionadas , y al mismo tiempo manifestó que en el caso contrario , temía verse obligado por las órdenes de su gobierno á salir inmediatament</t>
  </si>
  <si>
    <t>Wial, General</t>
  </si>
  <si>
    <t>General Wial</t>
  </si>
  <si>
    <t>ercibido ya el primer trimestre de ios 100® ducados que le tiene asignado la República francesa. El General Wial, que se hallaba en esta capital de resultas de haber tenido que dexar á Malta con motivo del rompimiento de la guerra, acaba de ser nombrado Ministro plenipotenciario de la Repúbl</t>
  </si>
  <si>
    <t>Wickham</t>
  </si>
  <si>
    <t>os insurgentes en la noche del 23 de julio último. Por lo pronto fueron examinados portel honorable Mr. Wickham, y conducidos á la cárcel de Kilmainham: son sugetos de muy buena presencia, de edad.. de cerca de 40 años, y no manifiestan abatimiento alguno por la situación en que se hallan.</t>
  </si>
  <si>
    <t>Wiels, Domingo</t>
  </si>
  <si>
    <t>Domingo Wiels</t>
  </si>
  <si>
    <t>r de la de Pamplona: el de la de S. Fernando de Fi.gueras, también militar y político, al Brigadier D. Domingo Wiels, Teniente de Rey de la de Barcelona: la Tenencia de Rey de la de Denia á D. Juan Saliquet, Teniente Coronel del Real cuerpo de Ingenieros; y la Sargentía mayor de la de Cádiz al T</t>
  </si>
  <si>
    <t>Wilberforce</t>
  </si>
  <si>
    <t>783 los quakaros se hallaban ya exentos.__ Mr. Wilberforce dixo que esperaba que el presente bilí no haría mudanza alguna esencial en las providencias que se habian tomado para armar el pueblo en masa y defender su territorio. Mr. Windham</t>
  </si>
  <si>
    <t>se hallará siempre dispuesto á continuar qualquiera discusión que se suscite sobre el mismo asunto. Mr. Wilberforce hizo presente que alababa tanto como el que mas las ofertas voluntarias de la nación; pero que le parecía que la Cámara no debía proceder con tanta ligereza á dar gracias á unas g</t>
  </si>
  <si>
    <t>Wilf</t>
  </si>
  <si>
    <t>arias patentes .de invención hay la de los sombreros de seda, concedida con privilegio por 5 años á Mr. Wilf</t>
  </si>
  <si>
    <t>WimpfFen, Luis</t>
  </si>
  <si>
    <t>Luis WimpfFen</t>
  </si>
  <si>
    <t>la del de Suizos de Schnjtd aPGapitanó segundo del propio regimiento, graduado de Teniente Coronel, D. Luis WimpfFen :-la del .primer batallón de Voluntarios de Aragón al Capitán primero del mismo cuerpo D. Gerónimo Moreo; y la del de Voluntarios de Valencia al Capitán primero del mismo batallón</t>
  </si>
  <si>
    <t>Windham</t>
  </si>
  <si>
    <t>sus negocios particulares, sin que de ella pueda resultar perjuicio alguno al servicio público.” — Mr. Windham defendió la opinión de ser. el peligro inaudito; oponiéndose á que se separase la Cámara sin que áñtés se-le diesen los informes convenientes; pero habiéndose votado , quedó resuelto</t>
  </si>
  <si>
    <t>as culpados de quantos en alguna época de la historia han afligido á su pais con esta calamidad.” — Mr. Windham se quejó de que los Ministros no</t>
  </si>
  <si>
    <t>andés que hablase en esta ocasión. El Procurador general hizo un discurso muy enérgico y eloqüente. Mr. Windham expresó su grande indignación al oir ios argumentos de Mr. Fox , y concluyó comparando su conducta á 1.a de un cirujano, que disuadiese á su paciente de sufrir una operación necesar</t>
  </si>
  <si>
    <t>res, y que el gasto total para la Gran Bretaña y la Irlanda no pasaría de 3.100© libras esterlinas. Mr. Windham dixo, que el plan de los Ministros de tener un exército regular y muchas milicias era sumamente desatinado. Los Ministros, añadió, ni tienen plan ni idea de la guerra, actual. Se</t>
  </si>
  <si>
    <t>uyó proponiendo el discurso de gracias.__ Enteramente opuesto y no ménosr largo, fué el discurso de Mr. Windham. Considera este orador como insuficientes las providencias propue&lt;tas: conviene en que los tiempos son muy otros , y mira como inevitable la ruina de la Inglaterra si no se ocurre</t>
  </si>
  <si>
    <t>sea otros tantos marineros.—Mr. Windham replico á Mr. Pitt, sosteniendo que precisamente era esta la ocasión de examinar los puntos particulares del plan para mudarlos ó corregirlos-----Mr. Pitt se explica conviniendo e</t>
  </si>
  <si>
    <t>l General Gascoygne hizo algunas observaciones desaprobando las opiniones manifestadas por su amigo Mr. Windham , relativamente al exército de reserva, por quanto pueden causar desaliento en el interior y detener á las potencias continentales que estuviesen en ánimo de obrar de acuerdo con.</t>
  </si>
  <si>
    <t>ner á S. M. en estado de exercer con mas energía sus prerogativas en caso de invasión del Rey no. ' Mr. Windham dixa que se le permitiese repetir en presencia de la Cámara, y aun de todo el Reynd, io que antes había dicho, y era, que los Ministrbs por sus dilaciones y descuidos habían puest</t>
  </si>
  <si>
    <t>y reducido de la junta de la Cámara de los Comunes del 18, pone la siguiente nota, al pasage en que Mr. Windham compara la suerte de la Inglaterra á la de Cartago, si sale acertada la expedición francesa. „No, Mr. Windham, no: lo que haremos será castigar un centenar de familias oligárquica</t>
  </si>
  <si>
    <t>intentaban con demasiada prontitud, no se bailasen del todo desprevenidos___Apoya la proposición de Mr. Windham por lo respectivo á los cuerpos voluntarios, mediante á que todas sus operaciones serán mas activas y vigorosas; propone que se ponga en práctica este medio, pero que el bilí debe</t>
  </si>
  <si>
    <t>ial en las providencias que se habian tomado para armar el pueblo en masa y defender su territorio. Mr. Windham se opuso al bilí, porque la mayor parte de las fuerzas que se habian de levantar para la defensa general, debía consistir en voluntarios, diciendo al mismo tiempo que no le agrada</t>
  </si>
  <si>
    <t>bia avivado tan industriosamente.” Mr. Sheridan dixo que no podía menos de manifestar su gratitud á Mr. Windham por el modo con que le habia cumplimentado por la parte que tuvo en encender el fuego-en las quatro partes del globo. Hizo un largo discurso en que fue rebatiendo sus proposicione</t>
  </si>
  <si>
    <t>tismo ; y que hubiesen ó no sido aceptados, el gobierno los miraba con la mayor atención y respeto. Mr. Windham dixo que estaba persuadido á que el honorable vocal1 que había suscitado la qiiestion , juzgaría que iba á hablar solo con el fin de oponerse á ella; pero que no se hallaba en est</t>
  </si>
  <si>
    <t>opas, no quiero ningunas; no dexeis que se me acerquen, porque solo sirven para estorbar.” Continúa Mr. Windham diciendo que lo que él practicaría en un caso como el presente, seria aumentar las tropas regladas, poner á las milicias en el mayor grado de perfección que fuese posible, y despu</t>
  </si>
  <si>
    <t>incipios hizo una f arga arenga, en toda la qual se manifestó siempre adicto á las proposiciones de Mr. Windham. El Coronel Crawford, siguiendo el mismo plan que el orador antecedente, dixo: ,,Que si la Cámara accedía á la presente propuesta, ¿que mayor recompensa podría dar á los voluntari</t>
  </si>
  <si>
    <t>solamente en la común defensa contra los formidables ataques de un enemigo sanguinario y resentido. Mr. Windham apoyó los argumentos de su honorable amigo (Mr. Elliot), y dixo, que ya fuese que el gobierno de Irlanda hubiese ó no sido sorprehendido, de todos modosera criminal. Si tuvo notic</t>
  </si>
  <si>
    <t>WindUam</t>
  </si>
  <si>
    <t>ra mas adelante , de que los Ministros no habían descu idado los intereses del comercio de su pais. Mr. WindUam dixo entre otras cosas: que la proposición sentada sobre quitar las restricciones al comercio, le causaba bastante disgusto; porque esto destruiría el código de navegación de la I</t>
  </si>
  <si>
    <t>Wintuysen, Pedro</t>
  </si>
  <si>
    <t>Pedro Wintuysen</t>
  </si>
  <si>
    <t>e bandera al Sargento primero D. Antonio Menas en el de Navarra Compañía al caballero Page de S. M. D. Pedro Wintuysen; y en el de la Princesa Compañía al Teniente de granaderos,graduado de Capitán, D. Francisco Lessoyne. En el Real cuerpo de Artillería se na servido el Rey nombrar Coronel del ter</t>
  </si>
  <si>
    <t>WíUiam Smith</t>
  </si>
  <si>
    <t>Mr. WUberforce , el Secretario de la Guerra , Lord Castlereagh Scc, habláron, y Mr. WíUiam Smith propuso se aplazasen los debates, lo que se aprobó. En la junta de la Cámara de los Pares del 24 el Lord Auckland propuso se comunícase á sus Señorías la correspondencia que ha me</t>
  </si>
  <si>
    <t>Wíurlen</t>
  </si>
  <si>
    <t>l Emperador. Mañana seguirá para el campo de Minkendorf., Por orden del Ministro de Guerra ha hecho Mr. Wíurlen la prueba de sus termolampas para el uso de los quarteles, y el resultado se mira como muy ventajoso. Se ha calculado que sirviéndose de las termolampas en lugar de estufas, no solo</t>
  </si>
  <si>
    <t>Wlitlock, General</t>
  </si>
  <si>
    <t>General Wlitlock</t>
  </si>
  <si>
    <t>uiente hacer un desembarco cerca de la bahía de Stoka, han salido de aquí el Almirante Montagu y el General Wlitlock para el paso de la Aguja , y han levantado un pian de defensa de estos sitios. Haya, 20 de Octubre. Ei Cál ciad. Apostool, Agente de la marina bátava en Londres, continuará sus fu</t>
  </si>
  <si>
    <t>Woronzow, Conde</t>
  </si>
  <si>
    <t>Conde Woronzow</t>
  </si>
  <si>
    <t>e sueño. Miramos como positivo que .ha habido comunicación entre el Conde de Marcoff en París, y el Conde Woronzow aquí'; pero ¿quien es el hombre sensato que puede creer que de ello, ha de resultar la pazí Si Bonaparte advierte que las comunicaciones de los Ministros rusos detienen nuestros e</t>
  </si>
  <si>
    <t>WUberforce</t>
  </si>
  <si>
    <t>Mr. WUberforce , el Secretario de la Guerra , Lord Castlereagh Scc, habláron, y Mr. WíUiam Smith propuso se aplazasen los debates, lo que se aprobó. En la junta de la Cámara de los Pares del 24</t>
  </si>
  <si>
    <t>Xaramillo, Domingo</t>
  </si>
  <si>
    <t>Domingo Xaramillo</t>
  </si>
  <si>
    <t>odes y D. Romualdo Martínez, habiendo tocado al primero. Se mandó dar certificación de distinción á D. Domingo Xaramillo, repartiéndose otras igualmente á los demás, quedando el concurso satisfecho de la aplicación y aprovechamiento , asi de los alumnos subscriptos, como de los que envió la referida</t>
  </si>
  <si>
    <t>Xaramillo, Francisco</t>
  </si>
  <si>
    <t>Francisco Xaramillo</t>
  </si>
  <si>
    <t>co Gregorio, D. Tomas Aguirre, D. Juan Ponsich, D. Felipe del Arco Agüero, D. Joseph Sánchez Tagle, D. Francisco Xaramillo, Don Dionisio López Pinto, D. Mariano Carrillo de Albornoz, D. Francisco Justis ,D. Bernardo Landaburu, D. Diego Rejón de Silva y D. LuisLandaburu : al Cadete de Reales Guardias d</t>
  </si>
  <si>
    <t>xefe Abdui Wechab</t>
  </si>
  <si>
    <t>mente una victoria sobre los rebeldes de Arabia, y que ha hecho prisionero á su xefe Abdui Wechab; pero esta noticia no tiene carácter de autenticidad. Augsburgo 24 de Julio. L as últimas cartas que se han recibido de Viena confirman que Air. de Hardenberg,</t>
  </si>
  <si>
    <t>xefe Aralba-Raehmeth-Ullia</t>
  </si>
  <si>
    <t>tersburgo 18 de Agosto* . H a llegado la caravana de la China á Las órdenes del xefe Aralba-Raehmeth-Ullia , y trae 11 rusos que estaban en esclavitud. Ei mercader ruso Schaporchinkof había el ano anterior convenido con aquel xefe en darle cierta suma por 12 persona</t>
  </si>
  <si>
    <t>xefe Eduardo Morder</t>
  </si>
  <si>
    <t>. Grey. (Se concluirá.) Parts Jj de Junto. E I Teniente General y Comandante en xefe Eduardo Morder, ha escrito al Ministro de la Guerra, con fecha en Niewburg á 4 de Junio, lo siguiente: „E1 ¿8 del pasado tuve el honor de participaros los movimientos del exé</t>
  </si>
  <si>
    <t>xefe Eduardo Mortier</t>
  </si>
  <si>
    <t>1803), salvo la aprobación del primer Cónsul. El 7miente General Comandante en xefe Eduardo Mortier. __ F. de Bremer , Juez del Tribunal electoral de Justicia , y Consejero provincial__ G. de Boch, Teniente Coronel Comandante del regimiento electoral de Guard</t>
  </si>
  <si>
    <t>xefe Leclerc</t>
  </si>
  <si>
    <t>olonias, fecha 9 de Noviembre último, da parte de haber fallecido el General en xefe Leclerc, en la noche del 1 al 2, de resultas de la epidemia que allí se ha padecido. Igualmente envia una certificación de las ultimas disposiciones de dicho General e</t>
  </si>
  <si>
    <t>o hoy el bando siguiente: Mañana, 27 de Enero, el cuerpo del difunto General en xefe Leclerc, Capitán general que fué de la colonia de Sto. Domingo, será trasladado del navio el Swifsture á bordo de la fragata la Cornelia, y de allí á Marsella, tn cump</t>
  </si>
  <si>
    <t>n forma de sarcófago negro y blanco, llevando.á boydo los restos del General en xefe Leclerc, los Ayudantes de Campo de dicho General, y los granaderos del exército de Sto. Domingo venidos en el návío Swifsture.__-El bote del Prefecto, marítimo, llevan</t>
  </si>
  <si>
    <t>xefe Michaud</t>
  </si>
  <si>
    <t>, protector de la universidad. Uannóver 21 de Junio. E 1 Comisario Ordenador en xefe Michaud, ha escrito ayer á la junta de instrucción pública una carta concebida en estos términos : Estoy autorizado para manifestaros qué todo quanto corresponde á las</t>
  </si>
  <si>
    <t>xefe Morder</t>
  </si>
  <si>
    <t>del país , 6 por la religión del Soberano. llamburgo 9 de Julio. E 1 General en xefe Morder y el General Bertier y su muger han venido como viageros meramente .por ver esta ciudad. La capitulación de Lauenburgo se va cumpliendo con exactitud. Ya han vuelt</t>
  </si>
  <si>
    <t>xefe Mortier</t>
  </si>
  <si>
    <t>de varias plazas. Escriben de este puerto, con fecha.del-11, que el General en xefe Mortier y el General Berthier, habían llegado allí aquella mañana acompañadqs de muchos oficiales franceses, y que habían reconocido la situación de la ciu'dád y de sus in</t>
  </si>
  <si>
    <t>xefe Murat</t>
  </si>
  <si>
    <t>Las tropas que forman la división italiana pasáron ayer revista del General en xefe Murat, y esta mañana salieron para su destino. La división francesa que se junta en el Rubicon es mucho mas fuerte que la italiana. ——Acaba de dirigir el Vice-Presid</t>
  </si>
  <si>
    <t>xefe Rochambeau</t>
  </si>
  <si>
    <t>T99 soldados de la brigada 86: y el General en xefe Rochambeau, después de dar gracias por su buen desempeño á los oficiales de tierra y mar, particularizándose con los que mas se distinguiéron, promovió á algunos, y conce</t>
  </si>
  <si>
    <t>xefe Taher Baxá</t>
  </si>
  <si>
    <t>77° pues de una pérdida considerable , contándose entre los muertos su xefe Taher Baxá asesinado por el pueblo. Mahemet, Baxá de Damieta , que acudió ai socorro, ha contribuido mucho á la victoria;*Este Gobernador ha restablecido enteramente el o</t>
  </si>
  <si>
    <t>Xerez, Antonio</t>
  </si>
  <si>
    <t>Antonio Xerez</t>
  </si>
  <si>
    <t>dignado promover en el regimiento de infantería de Córdoba á Teniente al Subteniente de granaderos D. Antonio Xerez: en el de Aragón á Teniente al Subteniente de granaderos D. Antonio García Estepa ; y en él batallón de Voluntarios de Valencia á Teniente al Subteniente D. Pedro Joseph Diáz. ' E</t>
  </si>
  <si>
    <t>Ximenez Bretón, Manuel</t>
  </si>
  <si>
    <t>Manuel Ximenez Bretón</t>
  </si>
  <si>
    <t>Capitán general-.de Cataluña. Señalado de la Real S. M. En :S.^Lorenzo á 19 de Octubre de ,i8oj.=A D. Manuel Ximenez Bretón. *s. •r; El Réy se ha servido nombrar para la Dignidad de Chantre y Canongfciunida de-la cátédral dé Stgüenza, vacante por fallecimiento de D. An— tohib íRahio^:Re&lt;lohdo, á-Di Jua</t>
  </si>
  <si>
    <t>Ximenez de Cenarbe, Joseph</t>
  </si>
  <si>
    <t>Joseph Ximenez de Cenarbe</t>
  </si>
  <si>
    <t>lzadilía y Grimatdi. . Asimismo ha venido el Rey en jubilar al Alcalde mayor de la ciudad de Murcia D. Joseph Ximenez de Cenarbe, y en nombrar para la expresada Vara á D. Ignacio Yanguas y Segovia: para laVara de Alcalde mayor, primera de la, ciudad de Granada, á D. Francisco-Velasco y Ferrandiz: para la de</t>
  </si>
  <si>
    <t>Ximenez y Roxas, Félix</t>
  </si>
  <si>
    <t>Félix Ximenez y Roxas</t>
  </si>
  <si>
    <t>en la misma cantidad á favor de la propia Real capilla, vacante por muerte de D. Ventara Alvarez, á D. Félix Ximenez y Roxas:'para el Denato , primera silla de la catedral de Lugo , vacante por promoción de D. Benito de Lué y Riega á la Iglesia y Obispado de Buenos-Ayres, á D. Antonio de Lence, con rete</t>
  </si>
  <si>
    <t>Ximenez, Antonio</t>
  </si>
  <si>
    <t>Antonio Ximenez</t>
  </si>
  <si>
    <t>Avila, vacante -por promoción de D. Raymundo Martin Estebe á una Canongía de lra misma catedral, á D. Antonio Ximenez cíe Arguello; y para otra de la colegial de Soria, en la diócesis de Osma , vacante por promoción de Don Antonio Vicente Henriquez á la Canongía de Arcipreste de la misma colegial</t>
  </si>
  <si>
    <t>Ximenez, Estéban</t>
  </si>
  <si>
    <t>Estéban Ximenez</t>
  </si>
  <si>
    <t>Almeyda. Se hallará en la librería de Calleja, calle angosta de Majadericos. Arte de escribir, por D. Estéban Ximenez siguiendo el método y buen gusto de D. Francisco Xavier de Santiago Palomares. En esta obra, que en la substancia eomprehende el admirable método de Pedro Díaz Morante, y carácter</t>
  </si>
  <si>
    <t>Ximenez, Joseph Dionisio</t>
  </si>
  <si>
    <t>Joseph Dionisio Ximenez</t>
  </si>
  <si>
    <t>de lás Ordenes Militares D. Joseph Gavarre: en el de Toledo á Teniente al Subteniente de granaderos D. Joseph Dionisio Ximenez: en el de Hibernia á Capitán al Teniente de granaderos, graduado de Capitán, D. Ulises Geoghegan: en el de Voluntarios de la Corona á Teniente Coronel al Comandante del tercer bat</t>
  </si>
  <si>
    <t>Ximenez, Juan</t>
  </si>
  <si>
    <t>Juan Ximenez</t>
  </si>
  <si>
    <t>itán al Teniente de granaderos D. Antonio López de Toledo; á Teniente de granaderos al de fusileros D. Juan Ximenez ; á Teniente á D. Valentín Moralejo, Subteniente.de granaderos; á esta resulta al de fusileros D. Antonio .Moreno; á la de esté al Subteniente de bandera D. Antonio Carballo, y á</t>
  </si>
  <si>
    <t>Ximenez, Juan Joseph</t>
  </si>
  <si>
    <t>Juan Joseph Ximenez</t>
  </si>
  <si>
    <t>ervido el Rey promover á Capitanes á los Subtenientes D. Joseph Manuel de Neyra , de granaderos , y Don Juan Joseph Ximenez^ á Subteniente de granaderos al de fusileros Don Joseph Sauri, y á Subtenientes de bandera á los Cadetes D. Francisco María Gallo y D. Antonio Joseph Muñoz. Quien quisiere hacer m</t>
  </si>
  <si>
    <t>Ximenez, Vicente</t>
  </si>
  <si>
    <t>Vicente Ximenez</t>
  </si>
  <si>
    <t>ra dé la catedral de Xerona, vacante por renuncia que de ella ha hecho Don Antonio Civit y Nadal, á D. Vicente Ximenez: para el Arciprestazgo de Caracena, en la diócesis de Sigüenza, vacante por traslación de D. Miguel Alonso á una Canongía de la catedral de Cuenca, á D. Juan Francisco' Avendaño,</t>
  </si>
  <si>
    <t>Ximeno Aguirre, Vicente</t>
  </si>
  <si>
    <t>Vicente Ximeno Aguirre</t>
  </si>
  <si>
    <t>es: para otra Ración de la misma catedral, vacante por muerte de X&gt;. Francisco González Pascual , á D. Vicente Ximeno Aguirre: para una Capellanía de Coro de la metropolitana de Granada, vacante por fallecimiento de D. Joseph Antonio de Armocha, á D. Francisco Mariano Cañizares, Cura Teniente del Sagrari</t>
  </si>
  <si>
    <t>Ximeno, Joaquín</t>
  </si>
  <si>
    <t>Joaquín Ximeno</t>
  </si>
  <si>
    <t>scuela de la catedral de Orihuela , con la pensión de 4© rs. á favor de la Real capilla de S. M., á Don Joaquin Ximeno: para la Dignidad de Chantre de la catedral de Badajoz, vacante por muerte de D. Manuel de Oliveros, á D. García de Mendoza, y Rocha: para una Canongía de la metropolitana de Tarr</t>
  </si>
  <si>
    <t>isco Valverde y de Hoya: para otra Magistral de Púlpito de la de Orihuela, vacante por promoción de D. Joaquín Ximeno á la Dignidad de Maestrescuela</t>
  </si>
  <si>
    <t>Ximeno, Joseph</t>
  </si>
  <si>
    <t>Joseph Ximeno</t>
  </si>
  <si>
    <t>estampas de Christo ecce-homo y Dolorosa, de medio cuerpo , de color al estilo ingles, grabadas por D. Joseph Ximeno. Se hallarán en casa de Escribano í 2 rs. las dos juntas, y separadas á real y medio. Colección de 1 2 estampas que representan la vida del hombre' en varias alegorías , grabadas</t>
  </si>
  <si>
    <t>Ximeno, Juan</t>
  </si>
  <si>
    <t>Juan Ximeno</t>
  </si>
  <si>
    <t>.D. Pedro y D. Juan Esponera. En León..................D. Pedro Gil de Tejada. En Málaga............D. Juan Ximeno. En Mahon.............. Doña Catalina Germán y Hugalde* En Murcia............. Sres. Moreda y Ladalid. En Oviedo............... D. Manuel Rubiano. En Palenda.......... D. Nicolás</t>
  </si>
  <si>
    <t>Xpis Pigíiat</t>
  </si>
  <si>
    <t>oseph Martin Stejnhauser; Tenencias de fusileros á los Subtenientes de granaderos D. Jacobo Turquí, D. Xpis Pigíiat -y D. Juan Bautista Duc; Subtenencia de granaderos al de fusileros Don •Antonio Grillot, y Subtenencias de fusileros á los Cadetes D. Gerónimo ;Neff y D. Francisco Xavier Marchal.</t>
  </si>
  <si>
    <t>y Aguado, Joseph Mateo</t>
  </si>
  <si>
    <t>Joseph Mateo y Aguado</t>
  </si>
  <si>
    <t>de Torres, del Consejo de S* M., Teniente Corregidor de esta villa, por la escribanía del número de D. Joseph Mateo y Aguado, dentro del término de 30 dics, contados desde el 7 del corriente mes de Diciembre. La pinza de Médico de la Anteiglesia de Ceanuri, en el señorío de Vizcaya, y su merindad de Arr</t>
  </si>
  <si>
    <t>y Galindez, Andrés Martín</t>
  </si>
  <si>
    <t>Andrés Martín y Galindez</t>
  </si>
  <si>
    <t>lasencia'yXoria, á D. Joseph de la Peña y Benítez, D. Joseph María Segovia, D. Serafín María López, D. Andrés Martin y Galindez, D. Diego Manuel de Oca y Armijo, D. Antonio Fernandez Gamonal y D. Fernando Velasco y Cartillo. ..... En América. S. M. se ha dignado promover á Alféreces del regimiento de drago</t>
  </si>
  <si>
    <t>y Juan Esponera, Pedro</t>
  </si>
  <si>
    <t>Pedro y Juan Esponera</t>
  </si>
  <si>
    <t>Granada........D. Francisco Unzaga. En Guadalaxara. D. Isidoro García Plaza. En Jaén...............D. Pedro y Juan Esponera. En León............. D. Pedro Gil de Tejada. En Malaga... ...%. D. Antonio Mariano. En Murcia..........Sres. Moreda y Ladalid. , Eti Oviedo............ D. Manuel Rubiano. En Pate</t>
  </si>
  <si>
    <t>y la Archiduquesa María Beatriz, Fernando (archiduque)</t>
  </si>
  <si>
    <t>Archiduque Fernando y la Archiduquesa María Beatriz</t>
  </si>
  <si>
    <t>da , Carlota ¿ Cayetana, Margarita; y S. S. añadió á ámbas el nombre de Pió. Fuéron sus padrinos el Archiduque Fernando y la Archiduquesa María Beatriz,en cuyo nombre las tuvieron en la pila el Príncipe Cárlos Félix, y la Princesa María Beatriz. Con tan pla’usible motivo se hicieron regalos espléndidos, y se repartieron quaiir li</t>
  </si>
  <si>
    <t>y María Antonia, Fernando</t>
  </si>
  <si>
    <t>Fernando y María Antonia</t>
  </si>
  <si>
    <t>la Montera. Pueden ir en carta. Estampa de los retratos de los Serrnos. Sres. Príncipes de Asturias D. Fernando y Doña María Antonia, dibuxados y grabados con el mayor esmero. Se hallará en las librerías de Gómez Fuentenebro, calle de las Carretas, y en la de González, frente á la casa de los.Gremios, á 4 rs. y</t>
  </si>
  <si>
    <t>o. Sr. Conde de Oñate, que con motivo de los desposorios de los Sermos. Sres. Príncipes de Asturias D. Fernando y Doña María Antonia presentó el referido Excmo. Sr. : dibujada por D. Antonio Taddei, y grabada con esmero.; Se hallará á.8 rs.’en las librerías de Gómez Fue^itenebro’j calle.fle las Carretas, y de G</t>
  </si>
  <si>
    <t>y Raon, Joseph Sebastián</t>
  </si>
  <si>
    <t>Joseph Sebastián y Raon</t>
  </si>
  <si>
    <t>o cuerpo, graduado de Teniente Coronel, D. Juan Ramón Marty: la del de Soria al Capitán del de León D. Joseph Sebastian y Raon: la del de Córdoba al Capitán del de Extremadura, graduado de Teniente Coronel, D. Manuel Márquez : las de los de Guadalaxara y Sevilla á ios Capitanes del Inmemorial del Rey D. M</t>
  </si>
  <si>
    <t>y Sola, Miguel Martín</t>
  </si>
  <si>
    <t>Miguel Martín y Sola</t>
  </si>
  <si>
    <t>ada, P. Francisco Sánchez de Ibarguen : en Cádiz , los Sres. Terris, hermanos y compañía: en Ceuta, D. Miguel Martin y Sola. Don Lázaro Ñmlez, natural del pueblo de Anguinses , en las islas Canarias,, por el testamento que otorgó en la ciudad de Panamá, en la América meridional, por el año de 1787, dec</t>
  </si>
  <si>
    <t>y Villana, Joaquín Manuel</t>
  </si>
  <si>
    <t>Joaquín Manuel y Villana</t>
  </si>
  <si>
    <t>e Corpt de la compañía Italiana; eri la zancajera ó éstribo derecho el primer' Caballerizo de S. M. D. Joaquín Manuel y Villana; y er el izquierda el Excmo. Sr. Marques de CogolludO j Gentilhombre de Cámara de servidumbre en dicho dia. Ál lado dé esta carroza iba uíi correo de la Real Caballeriza para toma</t>
  </si>
  <si>
    <t>y Villena, Juan Manuel</t>
  </si>
  <si>
    <t>Juan Manuel y Villena</t>
  </si>
  <si>
    <t>Príncipe* Ntro. Sr., el Excmo. Sr. Conde de Corres, Sumiller de Corps; el primer Caballerizo deS. A.D. Juan Manuel y Villena,y el Excmo, Sr. Conde de Castel-dosrius, Gentilhombre de Cámara de servir? dumbre en dicho dia. 9.0 La estufa nombrada de Mina* con 6 muías, 2 cocheros, 2 mancebos y 2 lacayos, en</t>
  </si>
  <si>
    <t>Y'onfiue</t>
  </si>
  <si>
    <t>Yañez de Barnuevo, Juan Nepomuceno</t>
  </si>
  <si>
    <t>Juan Nepomuceno Yañez de Barnuevo</t>
  </si>
  <si>
    <t>rancisco Moreno, al Cadete Don Joaquin Conde y al Subteniente de granaderos del provincial de Ecijá D. Juan Nepomuceno Yañez de Barnuevo: en el de Hibernia Compañías al Tenienté Coronel D. Jayme Mactérnan y al Capitán D. Joseph Poncerot, Ayudantes del propio regimiento, cómo también al Ayudante de la primerá.divisi</t>
  </si>
  <si>
    <t>Yañez, Antonio Vicente</t>
  </si>
  <si>
    <t>Antonio Vicente Yañez</t>
  </si>
  <si>
    <t>vido S. M. nombrar para la plaza1 de Oidor de la Audiencia de Sevilla, vacante por fallecimiento de D. Antonio Vicente Yañez, al Alcaide,, de la-Qtiadrá de lá misma Audiencia D. Fernando María Cúrvia dé Torrevedrá; y para esta resulta á D. Juan Eugenio de Calzadilía y Grimatdi. . Asimismo ha venido el R</t>
  </si>
  <si>
    <t>Yañez, Juan Vicente</t>
  </si>
  <si>
    <t>Juan Vicente Yañez</t>
  </si>
  <si>
    <t>, en Cataluña, á D. Fr. Ramón Maseli y Míisocos, Habiendo hecho presente al Rey el Xefe de Esquadra D. Juan Vicente Yañez sus deseos de abrazar ei estado eclesiástico, y satisfecho plenamente S. M. del zelo y cabal desempeño con que ha servido este General en quantas comisiones se le han confiado, y</t>
  </si>
  <si>
    <t>Yanguas y Segovia, Ignacio</t>
  </si>
  <si>
    <t>Ignacio Yanguas y Segovia</t>
  </si>
  <si>
    <t>de mayor de la ciudad de Murcia D. Joseph Ximenez de Cenarbe, y en nombrar para la expresada Vara á D. Ignacio Yanguas y Segovia: para laVara de Alcalde mayor, primera de la, ciudad de Granada, á D. Francisco-Velasco y Ferrandiz: para la deja'de Santander á D. Francisco Noriega: para el Corregimiento de Let</t>
  </si>
  <si>
    <t>Yebenes, Gerónimo</t>
  </si>
  <si>
    <t>Gerónimo Yebenes</t>
  </si>
  <si>
    <t>miento de infantería de la Luisiana á Capitanes á ios Tenientes D. Pedro Larronde, D. Martin Palao, D. Gerónimo Yebenes, D. Juan Delassise y D. Luis Piernas , el segundó, tercero y quinto Ayudantes, y el quarto de granaderos; á Ayudan-' tes á los Tenientes D. Joseph Cruzat, D. Domingo Bouligny y D.</t>
  </si>
  <si>
    <t>Yoanis, Joseph María</t>
  </si>
  <si>
    <t>Joseph María Yoanis</t>
  </si>
  <si>
    <t>gento primero D. Vicente Moreno : en el de Granaderos Voluntarios de Estado Tenencia al Subteniente D. Joseph María Yoanis; y en el de Borbon Tenencia al Subteniente D. Joseph Asaillit. En América. £1 Rey $e ha servido nombrar para una Media-Raeion de la metropolitana de Santa Fe, vacante por ascenso</t>
  </si>
  <si>
    <t>Yolif, Juan</t>
  </si>
  <si>
    <t>Juan Yolif</t>
  </si>
  <si>
    <t>e está pendiente , y fué interpuesta en los autos' que seguían, los citados D. Luis y D. Alonso con D. Juan Yolif, su hermano , so-' bre cumplimiento de cierto compromiso celebrado para el ajuste de cuentes habidas en su compañía previniendo á dichos herederos que pasado el término prefixado</t>
  </si>
  <si>
    <t>Yoly, Andrés</t>
  </si>
  <si>
    <t>Andrés Yoly</t>
  </si>
  <si>
    <t>guel de Ibarra, áDon Matías González. Ha concedido S. M. grado de Capitán de caballería al Teniente Don Andrés Yoly, Gobernador del castillo de las Medas. En América. El Rey se ha servido nombrar para la Dignidad de Tesorero de la catedral de Cuba, vacante por fallecimiento de D. Manuel de Otam</t>
  </si>
  <si>
    <t>Yorke</t>
  </si>
  <si>
    <t>azeta extraordinaria. El Lord Pelham ha dexado el ministerio del Interior, en el que le ha sucedido Mr. Yorke, Secretario de la Guerra, á quien se dice que sucederá Mr. Bragge. En la gazeta de Londres (papel de oficio) se ha publicado lo siguiente: Londres 13 de Agosto» S. M. ha tenido á</t>
  </si>
  <si>
    <t>Young</t>
  </si>
  <si>
    <t>ciales para atemperar las circunstancias que pareciesen gravosas. Hubo una corta contestación entre Mr. Young,que sostenía ser excesiva la quota de un condado que había levantado £20 voluntarios, y el Secretario de la Guerra y Mr; Pitt que insistían en ella.__ Mr. W. Smith reparó en que e</t>
  </si>
  <si>
    <t>del cortejo ; y las Noches lúgubres que compuso imitando el estilo de las que escribió en ingles el Doctor Young : componen 4 tomos en 8.° que se anuncian al público para su venta , sin otra recomendación que la que las mismas obras se han adquirido y dado al nombre de su autor , bastante co</t>
  </si>
  <si>
    <t>Yuste, Antonio</t>
  </si>
  <si>
    <t>Antonio Yuste</t>
  </si>
  <si>
    <t>Capitán al Ayudante, graduado de Capitán, D. Tomas López: en el de Mallorca á Ayudante al Teniente D. Antonio Yuste: en el batallón de Voluntarios de Gerona á Capitán primero al Capitán segundo D. Pedro Marcó; y én el batallón de Cazadores de Barbastro á Subteniente al Sargento primero D. Migue</t>
  </si>
  <si>
    <t>Zala, Joaquín</t>
  </si>
  <si>
    <t>Joaquín Zala</t>
  </si>
  <si>
    <t>e San Pedro:.para la.Dignidad de Enfermero de la catedral de Pamplona, vacante por fallecimiento de D. Joaquin Zala , á D. Miguel María Daoiz: para la Dignidad de Maestrescuela de la catedral de Orihuela , con la pensión de 4© rs. á favor de la Real capilla de S. M., á Don Joaquin Ximeno: para</t>
  </si>
  <si>
    <t>Zambeccari, Conde</t>
  </si>
  <si>
    <t>Conde Zambeccari</t>
  </si>
  <si>
    <t>ta del puerto de. Venida, adonde los conduxo un barco que los recogió. El que mas ha padecido es el Conde Zambeccari, cuyas manos quedan absolutamente inhábiles para todo exercicio. Strasburgo 3 de Noviembre. S e ha establecido aquí de un tiempo á esta parte el steriotipage, baxo la dirección de</t>
  </si>
  <si>
    <t>Zamorano, Antonio</t>
  </si>
  <si>
    <t>Antonio Zamorano</t>
  </si>
  <si>
    <t>dignado el Rey promover á Subinspector Comandante del departamento de Sevilla al Mariscal de Campo D. Antonio Zamorano; á Xefe de escuela del departamento de Barcelona al Brigadier D. Joseph Galiuzó, y á Coronel del quarto regí</t>
  </si>
  <si>
    <t>Zapatero, Juan</t>
  </si>
  <si>
    <t>Juan Zapatero</t>
  </si>
  <si>
    <t>Ingenieros del exército á. Teniente Coronel á D. Fernando Gabriel, Sargento mayor; á este empleo á D. Juan Zapatero, D. Ramón de la Rocha y D. Juan Pi-¡ rez, Capitanes primeros; a esta clase á D. Manuel de Hita, D. Luis Ve-, yan y D. Luis Laviña, Capitanes segundos; y á esta á los Tenientes Don</t>
  </si>
  <si>
    <t>y Minadores ha nombrado S. M. para Sargentos mayores á los de brigada del Real cuerpo de Ingenieros D. Juan Zapatero y D. Ramón de la Rocha; y para Ayudantes primero y segundo á D. Manuel Otermin y D. Juan Quiroga, Capitán segundo y Teniente del expresado cuerpo. El Rey se ha servido nombrar para la</t>
  </si>
  <si>
    <t>Zapatero, Manuel</t>
  </si>
  <si>
    <t>Manuel Zapatero</t>
  </si>
  <si>
    <t>Manuel Morete, D. Roque Cilleruelo y D. Sebastian de S. Juan; y Subtenientes á D. Andrés Rodríguez, D. Manuel Zapatero, que lo éran del regimiento de infantería de España y del provincial de Alcázar de S. Juan, como á D. Francisco Figueras, Cadete del de Navarra. En América. El Rey se ha servido n</t>
  </si>
  <si>
    <t>Zapiain, Miguel</t>
  </si>
  <si>
    <t>Miguel Zapiain</t>
  </si>
  <si>
    <t>suponía. OCEANO PACÍFICO Ú OCCIDENTAL. La fragata de guerra la Pilar, al mando del Capitán de Navio Don Miguel Zapiain, navegando de Manila á Acapulco el dia 10 de Noviembre de 799, descubrió una isla, cuya extensión de NNE á SSO es de 3i millas, y la llamó del Patrocinio, situándola en latitud N.</t>
  </si>
  <si>
    <t>Zapino, Joseph Antonio</t>
  </si>
  <si>
    <t>Joseph Antonio Zapino</t>
  </si>
  <si>
    <t>Rey ha conferido empleo de Ayudante en los regimientos provinciales de Xeon, Guadix y Bu jal anee á D. Joseph Antonio Zapino, D. Pédro Martínez y D. Bartolomé Obeso y Cevallos, Tenientes, ei primero dé granaderos, de los de infantería de línea dé Extremadura, Inmemorial del Rey y Burgos. , j . S.M/ se h</t>
  </si>
  <si>
    <t>Zarandia, Martín</t>
  </si>
  <si>
    <t>Martín Zarandia</t>
  </si>
  <si>
    <t>ermosa, p. Andrés del Rey, D. Christóbal Pomar y D. Joaquín Gómez, y k Tenientes á los Subtenientes D. Martin Zarandia, D. Ramón Gómez, Don Rafael Riesqh, D. Francisco Calderón y D. Luis Solana. . , Por la Superintendencia general de la Real Hacienda se ha -comunicado, fla dtfden siguiente: . El S</t>
  </si>
  <si>
    <t>Zavalete, Juan</t>
  </si>
  <si>
    <t>Juan Zavalete</t>
  </si>
  <si>
    <t>añía al Ayudante, graduado de Capitán, D. Ramón de Tovar: en, el ae Granada Tenencia al Subteniente D. Juan Zavalete: en ei de Valencia Subtenencia al Sargento primero D. Antonio del Castillo: en el Fixo de Ceuta Compañía de granaderos al Capitán D. Joseph Bautista: en el de Málaga Tenencias á l</t>
  </si>
  <si>
    <t>Zea, Francisco Antonio</t>
  </si>
  <si>
    <t>Francisco Antonio Zea</t>
  </si>
  <si>
    <t>lo á las Reales cédulas que rigen en la materia. A principios del mes pasado se presentó en.casa de D. Francisco Antonio Zea el ciud. Robimon, hábil literato, y profesor de lenguas inglesa y española en París, acompañado de un hcmbre que dixo manejaba el fuego sin experimentar algún daño, y que como objet</t>
  </si>
  <si>
    <t>Zeberg, Joseph</t>
  </si>
  <si>
    <t>Joseph Zeberg</t>
  </si>
  <si>
    <t>Tenencia y Subtenencia en el regimiento de infantería Suizo de Reding al Subteniente de granaderos D. Joseph Zeberg, y al Cadete Don Damián Bonard. S. M. se ha servido conferir en el regimiento de caballería de Farnesio Ayudantía al primer Teniente reformado D. Gregorio Prieto: en el de Montesa</t>
  </si>
  <si>
    <t>Zeno, Bernardo</t>
  </si>
  <si>
    <t>Bernardo Zeno</t>
  </si>
  <si>
    <t>retí,Teniente suelto de infantería destinado en aquella isla; ¿Capitaneé granaderos al de fusileros D. Bernardo Zeno; á Capitanes á los Teniente} de granaderos D. Santiago de Córdoba y D. Diego Urrutia; á Teniente} de granaderos á los Tenientes D. Joseph Quiñones y D. Tomas Delgado} á Tenientes</t>
  </si>
  <si>
    <t>Zey, Francisco</t>
  </si>
  <si>
    <t>Francisco Zey</t>
  </si>
  <si>
    <t>Sargentía mayor del regimiento de infantería suizo de Betschart al Capitán primero del mismo cuerpo Don Francisco Zey: Tenencia en el de Mallorca á D. Rafael Alcalá Galiano; V Capellanías en los de Valencia, Granada, Murcia y batallones de voluntarios de Campomayor y de Navarra á D. Vicente de Az</t>
  </si>
  <si>
    <t>Zuaznavar, Joseph María</t>
  </si>
  <si>
    <t>Joseph María Zuaznavar</t>
  </si>
  <si>
    <t>Martínez de Galinsoga.” ,,Para la Fiscalía de Ja Audiencia de Canárias , vacante por separación de D. Joseph María Zuaznavar, nombro á D. Juan Ramón Oses: para la plaza de Ministro que resulta vacante en la misma Audiencia por promoción de D. Francisco Diaz Bermudo á otra de Oidor de la Au</t>
  </si>
  <si>
    <t>Zurbano y Quiñones, Félix</t>
  </si>
  <si>
    <t>Félix Zurbano y Quiñones</t>
  </si>
  <si>
    <t>to de D. Joseph Aured, á D. Pedro Prado, Cura de la parroquia de Aldobera, en este arzobispado, y á D. Félix Zurbano y Quiñones, Penitenciario del convento de religiosas Agustinas de la Magdalena : para otra Canongía de la' cátedra! de Segovia, vacante por muerte de D. Ramón Galamino, á D. Diego de Subirán</t>
  </si>
  <si>
    <t>Zurita, Joseph</t>
  </si>
  <si>
    <t>Joseph Zurita</t>
  </si>
  <si>
    <t>ndo y tercer orden de este reyno de Valencia;, y una demostración honorífica al maestro de escribir D. Joseph Zurita , de las obras del Abate D. Domingo Marra de Servidon. El Vice-Director distribuyó 41 premios de 80 rs. cada uno , y medallas pendientes de collares, á otros tantos jóvenes de ámb</t>
  </si>
  <si>
    <t>Fuentes y criterio de elaboración</t>
  </si>
  <si>
    <t>Páginas impresas</t>
  </si>
  <si>
    <t>Registros</t>
  </si>
  <si>
    <t>Fascículo oficial (PDF)</t>
  </si>
  <si>
    <t>1–8</t>
  </si>
  <si>
    <t>9–20</t>
  </si>
  <si>
    <t>21–28</t>
  </si>
  <si>
    <t>29–36</t>
  </si>
  <si>
    <t>37–48</t>
  </si>
  <si>
    <t>49–56</t>
  </si>
  <si>
    <t>6 (supl.)</t>
  </si>
  <si>
    <t>57–60</t>
  </si>
  <si>
    <t>61–72</t>
  </si>
  <si>
    <t>73–80</t>
  </si>
  <si>
    <t>8 (supl.)</t>
  </si>
  <si>
    <t>81–84</t>
  </si>
  <si>
    <t>85–96</t>
  </si>
  <si>
    <t>97–104</t>
  </si>
  <si>
    <t>105–112</t>
  </si>
  <si>
    <t>113–124</t>
  </si>
  <si>
    <t>125–136</t>
  </si>
  <si>
    <t>137–144</t>
  </si>
  <si>
    <t>14 (supl.)</t>
  </si>
  <si>
    <t>145–148</t>
  </si>
  <si>
    <t>149–160</t>
  </si>
  <si>
    <t>161–168</t>
  </si>
  <si>
    <t>169–180</t>
  </si>
  <si>
    <t>181–192</t>
  </si>
  <si>
    <t>193–204</t>
  </si>
  <si>
    <t>205–212</t>
  </si>
  <si>
    <t>20 (supl.)</t>
  </si>
  <si>
    <t>213–216</t>
  </si>
  <si>
    <t>217–228</t>
  </si>
  <si>
    <t>229–240</t>
  </si>
  <si>
    <t>241–248</t>
  </si>
  <si>
    <t>249–260</t>
  </si>
  <si>
    <t>261–268</t>
  </si>
  <si>
    <t>25 (supl.)</t>
  </si>
  <si>
    <t>269–272</t>
  </si>
  <si>
    <t>273–284</t>
  </si>
  <si>
    <t>285–296</t>
  </si>
  <si>
    <t>297–304</t>
  </si>
  <si>
    <t>305–312</t>
  </si>
  <si>
    <t>313–320</t>
  </si>
  <si>
    <t>321–328</t>
  </si>
  <si>
    <t>329–340</t>
  </si>
  <si>
    <t>341–352</t>
  </si>
  <si>
    <t>353–360</t>
  </si>
  <si>
    <t>34 (supl.)</t>
  </si>
  <si>
    <t>sin numerar (12 págs. PDF)</t>
  </si>
  <si>
    <t>361–368</t>
  </si>
  <si>
    <t>369–376</t>
  </si>
  <si>
    <t>377–384</t>
  </si>
  <si>
    <t>37 (supl.)</t>
  </si>
  <si>
    <t>385–392</t>
  </si>
  <si>
    <t>393–404</t>
  </si>
  <si>
    <t>405–416</t>
  </si>
  <si>
    <t>417–424</t>
  </si>
  <si>
    <t>425–432</t>
  </si>
  <si>
    <t>433–440</t>
  </si>
  <si>
    <t>441–452</t>
  </si>
  <si>
    <t>453–460</t>
  </si>
  <si>
    <t>44 (supl.)</t>
  </si>
  <si>
    <t>461–464</t>
  </si>
  <si>
    <t>465–476</t>
  </si>
  <si>
    <t>477–488</t>
  </si>
  <si>
    <t>489–500</t>
  </si>
  <si>
    <t>501–512</t>
  </si>
  <si>
    <t>513–524</t>
  </si>
  <si>
    <t>49 (supl.)</t>
  </si>
  <si>
    <t>525–532</t>
  </si>
  <si>
    <t>533–544</t>
  </si>
  <si>
    <t>545–556</t>
  </si>
  <si>
    <t>557–568</t>
  </si>
  <si>
    <t>569–580</t>
  </si>
  <si>
    <t>581–592</t>
  </si>
  <si>
    <t>593–604</t>
  </si>
  <si>
    <t>605–612</t>
  </si>
  <si>
    <t>613–620</t>
  </si>
  <si>
    <t>57 (supl.)</t>
  </si>
  <si>
    <t>621–628</t>
  </si>
  <si>
    <t>629–640</t>
  </si>
  <si>
    <t>641–648</t>
  </si>
  <si>
    <t>649–660</t>
  </si>
  <si>
    <t>661–668</t>
  </si>
  <si>
    <t>669–680</t>
  </si>
  <si>
    <t>681–688</t>
  </si>
  <si>
    <t>63 (supl.)</t>
  </si>
  <si>
    <t>689–692</t>
  </si>
  <si>
    <t>693–700</t>
  </si>
  <si>
    <t>701–712</t>
  </si>
  <si>
    <t>713–720</t>
  </si>
  <si>
    <t>721–732</t>
  </si>
  <si>
    <t>733–744</t>
  </si>
  <si>
    <t>745–752</t>
  </si>
  <si>
    <t>69 (supl.)</t>
  </si>
  <si>
    <t>753–760</t>
  </si>
  <si>
    <t>761–768</t>
  </si>
  <si>
    <t>769–780</t>
  </si>
  <si>
    <t>781–788</t>
  </si>
  <si>
    <t>789–796</t>
  </si>
  <si>
    <t>797–804</t>
  </si>
  <si>
    <t>805–812</t>
  </si>
  <si>
    <t>813–824</t>
  </si>
  <si>
    <t>825–836</t>
  </si>
  <si>
    <t>837–848</t>
  </si>
  <si>
    <t>849–856</t>
  </si>
  <si>
    <t>857–864</t>
  </si>
  <si>
    <t>865–876</t>
  </si>
  <si>
    <t>877–888</t>
  </si>
  <si>
    <t>889–896</t>
  </si>
  <si>
    <t>897–904</t>
  </si>
  <si>
    <t>84 (supl.)</t>
  </si>
  <si>
    <t>905–908</t>
  </si>
  <si>
    <t>909–920</t>
  </si>
  <si>
    <t>921–932</t>
  </si>
  <si>
    <t>933–940</t>
  </si>
  <si>
    <t>87 (supl.)</t>
  </si>
  <si>
    <t>sin numerar (2 págs. PDF)</t>
  </si>
  <si>
    <t>941–948</t>
  </si>
  <si>
    <t>88 (supl.)</t>
  </si>
  <si>
    <t>949–952</t>
  </si>
  <si>
    <t>953–960</t>
  </si>
  <si>
    <t>961–968</t>
  </si>
  <si>
    <t>969–980</t>
  </si>
  <si>
    <t>981–988</t>
  </si>
  <si>
    <t>989–1000</t>
  </si>
  <si>
    <t>1001–1012</t>
  </si>
  <si>
    <t>1013–1020</t>
  </si>
  <si>
    <t>95 (supl.)</t>
  </si>
  <si>
    <t>1021–1024</t>
  </si>
  <si>
    <t>1025–1036</t>
  </si>
  <si>
    <t>1037–1044</t>
  </si>
  <si>
    <t>1045–1052</t>
  </si>
  <si>
    <t>1053–1064</t>
  </si>
  <si>
    <t>1065–1076</t>
  </si>
  <si>
    <t>1077–1088</t>
  </si>
  <si>
    <t>1089–1100</t>
  </si>
  <si>
    <t>102 (supl.)</t>
  </si>
  <si>
    <t>sin numerar (4 págs. PDF)</t>
  </si>
  <si>
    <t>1101–1108</t>
  </si>
  <si>
    <t>1109–1116</t>
  </si>
  <si>
    <t>1117–1124</t>
  </si>
  <si>
    <t>Alcance</t>
  </si>
  <si>
    <t>Índice de personas citadas en los 105 números y sus documentos asociados publicados durante el año 1803.</t>
  </si>
  <si>
    <t>Cobertura</t>
  </si>
  <si>
    <t>Periodo solicitado: 1 de enero–31 de diciembre de 1803. La Gazeta publicó el número 1 el 4 de enero y el número 105 el 30 de diciembre.</t>
  </si>
  <si>
    <t>Documentos</t>
  </si>
  <si>
    <t>Se han procesado 122 PDF: 105 números —1 extraordinario— y 17 suplementos o relaciones.</t>
  </si>
  <si>
    <t>Paginación</t>
  </si>
  <si>
    <t>La numeración principal llega a la página 1124. Los suplementos de los números 34, 87 y 102 tienen paginación independiente y se indican por página del PDF.</t>
  </si>
  <si>
    <t>Facsímiles</t>
  </si>
  <si>
    <t>Varios suplementos reúnen más páginas impresas que imágenes PDF; la hoja de fuentes conserva el rango impreso y cada registro enlaza con la imagen PDF correspondiente.</t>
  </si>
  <si>
    <t>Fascículo 52</t>
  </si>
  <si>
    <t>El PDF oficial del número 52 conserva dos imágenes (páginas impresas 557–558), aunque la secuencia del volumen reserva las páginas 557–568; las páginas impresas 559–568 no aparecen en ese facsímil.</t>
  </si>
  <si>
    <t>Relación militar</t>
  </si>
  <si>
    <t>El suplemento independiente del número 87 se procesó también por filas para recuperar los 19 militares difuntos enumerados en la relación.</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</si>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</sst>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3" displayName="IndiceOnomasticoAnual1803" ref="A6:K4533" totalsRowShown="0">
  <autoFilter ref="A6:K4533"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3" displayName="FuentesGacetaAnual1803" ref="A3:E125" totalsRowShown="0">
  <autoFilter ref="A3:E125"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4533"/>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2.1"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3.950000000000003"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17</v>
      </c>
      <c r="C7" s="3" t="s">
        <v>18</v>
      </c>
      <c r="D7" s="3" t="s">
        <v>19</v>
      </c>
      <c r="E7" s="3" t="s">
        <v>20</v>
      </c>
      <c r="F7" s="8">
        <v>97</v>
      </c>
      <c r="G7" s="8">
        <v>1044</v>
      </c>
      <c r="H7" s="3" t="s">
        <v>21</v>
      </c>
      <c r="I7" s="3" t="s">
        <v>22</v>
      </c>
      <c r="J7" s="11" t="str">
        <f>HYPERLINK("https://www.boe.es/gazeta/dias/1803/12/02/pdfs/GMD-1803-97.pdf#page=8","Abrir facsímil")</f>
        <v>Abrir facsímil</v>
      </c>
      <c r="K7" s="14" t="s">
        <v>23</v>
      </c>
    </row>
    <row r="8" spans="1:11" ht="42" customHeight="1">
      <c r="A8" s="4" t="s">
        <v>24</v>
      </c>
      <c r="B8" s="5" t="s">
        <v>25</v>
      </c>
      <c r="C8" s="5" t="s">
        <v>26</v>
      </c>
      <c r="D8" s="5" t="s">
        <v>27</v>
      </c>
      <c r="E8" s="5" t="s">
        <v>28</v>
      </c>
      <c r="F8" s="9">
        <v>92</v>
      </c>
      <c r="G8" s="9">
        <v>986</v>
      </c>
      <c r="H8" s="5" t="s">
        <v>21</v>
      </c>
      <c r="I8" s="5" t="s">
        <v>29</v>
      </c>
      <c r="J8" s="12" t="str">
        <f>HYPERLINK("https://www.boe.es/gazeta/dias/1803/11/15/pdfs/GMD-1803-92.pdf#page=6","Abrir facsímil")</f>
        <v>Abrir facsímil</v>
      </c>
      <c r="K8" s="15" t="s">
        <v>23</v>
      </c>
    </row>
    <row r="9" spans="1:11" ht="42" customHeight="1">
      <c r="A9" s="4" t="s">
        <v>30</v>
      </c>
      <c r="B9" s="5" t="s">
        <v>31</v>
      </c>
      <c r="C9" s="5" t="s">
        <v>26</v>
      </c>
      <c r="D9" s="5" t="s">
        <v>27</v>
      </c>
      <c r="E9" s="5" t="s">
        <v>32</v>
      </c>
      <c r="F9" s="9">
        <v>74</v>
      </c>
      <c r="G9" s="9">
        <v>802</v>
      </c>
      <c r="H9" s="5" t="s">
        <v>21</v>
      </c>
      <c r="I9" s="5" t="s">
        <v>33</v>
      </c>
      <c r="J9" s="12" t="str">
        <f>HYPERLINK("https://www.boe.es/gazeta/dias/1803/09/13/pdfs/GMD-1803-74.pdf#page=6","Abrir facsímil")</f>
        <v>Abrir facsímil</v>
      </c>
      <c r="K9" s="15" t="s">
        <v>23</v>
      </c>
    </row>
    <row r="10" spans="1:11" ht="42" customHeight="1">
      <c r="A10" s="4" t="s">
        <v>34</v>
      </c>
      <c r="B10" s="5" t="s">
        <v>35</v>
      </c>
      <c r="C10" s="5" t="s">
        <v>26</v>
      </c>
      <c r="D10" s="5" t="s">
        <v>27</v>
      </c>
      <c r="E10" s="5" t="s">
        <v>36</v>
      </c>
      <c r="F10" s="9">
        <v>79</v>
      </c>
      <c r="G10" s="9">
        <v>855</v>
      </c>
      <c r="H10" s="5" t="s">
        <v>21</v>
      </c>
      <c r="I10" s="5" t="s">
        <v>37</v>
      </c>
      <c r="J10" s="12" t="str">
        <f>HYPERLINK("https://www.boe.es/gazeta/dias/1803/09/30/pdfs/GMD-1803-79.pdf#page=7","Abrir facsímil")</f>
        <v>Abrir facsímil</v>
      </c>
      <c r="K10" s="15" t="s">
        <v>23</v>
      </c>
    </row>
    <row r="11" spans="1:11" ht="42" customHeight="1">
      <c r="A11" s="4" t="s">
        <v>38</v>
      </c>
      <c r="B11" s="5" t="s">
        <v>39</v>
      </c>
      <c r="C11" s="5" t="s">
        <v>40</v>
      </c>
      <c r="D11" s="5" t="s">
        <v>41</v>
      </c>
      <c r="E11" s="5" t="s">
        <v>42</v>
      </c>
      <c r="F11" s="9">
        <v>10</v>
      </c>
      <c r="G11" s="9">
        <v>101</v>
      </c>
      <c r="H11" s="5" t="s">
        <v>21</v>
      </c>
      <c r="I11" s="5" t="s">
        <v>43</v>
      </c>
      <c r="J11" s="12" t="str">
        <f>HYPERLINK("https://www.boe.es/gazeta/dias/1803/02/04/pdfs/GMD-1803-10.pdf#page=5","Abrir facsímil")</f>
        <v>Abrir facsímil</v>
      </c>
      <c r="K11" s="15" t="s">
        <v>23</v>
      </c>
    </row>
    <row r="12" spans="1:11" ht="42" customHeight="1">
      <c r="A12" s="4" t="s">
        <v>44</v>
      </c>
      <c r="B12" s="5" t="s">
        <v>45</v>
      </c>
      <c r="C12" s="5" t="s">
        <v>46</v>
      </c>
      <c r="D12" s="5" t="s">
        <v>19</v>
      </c>
      <c r="E12" s="5" t="s">
        <v>47</v>
      </c>
      <c r="F12" s="9">
        <v>33</v>
      </c>
      <c r="G12" s="9">
        <v>349</v>
      </c>
      <c r="H12" s="5" t="s">
        <v>21</v>
      </c>
      <c r="I12" s="5" t="s">
        <v>48</v>
      </c>
      <c r="J12" s="12" t="str">
        <f>HYPERLINK("https://www.boe.es/gazeta/dias/1803/04/26/pdfs/GMD-1803-33.pdf#page=9","Abrir facsímil")</f>
        <v>Abrir facsímil</v>
      </c>
      <c r="K12" s="15" t="s">
        <v>23</v>
      </c>
    </row>
    <row r="13" spans="1:11" ht="42" customHeight="1">
      <c r="A13" s="4" t="s">
        <v>49</v>
      </c>
      <c r="B13" s="5" t="s">
        <v>50</v>
      </c>
      <c r="C13" s="5" t="s">
        <v>51</v>
      </c>
      <c r="D13" s="5" t="s">
        <v>52</v>
      </c>
      <c r="E13" s="5" t="s">
        <v>53</v>
      </c>
      <c r="F13" s="9">
        <v>99</v>
      </c>
      <c r="G13" s="9">
        <v>1064</v>
      </c>
      <c r="H13" s="5" t="s">
        <v>21</v>
      </c>
      <c r="I13" s="5" t="s">
        <v>54</v>
      </c>
      <c r="J13" s="12" t="str">
        <f>HYPERLINK("https://www.boe.es/gazeta/dias/1803/12/09/pdfs/GMD-1803-99.pdf#page=12","Abrir facsímil")</f>
        <v>Abrir facsímil</v>
      </c>
      <c r="K13" s="15" t="s">
        <v>23</v>
      </c>
    </row>
    <row r="14" spans="1:11" ht="42" customHeight="1">
      <c r="A14" s="4" t="s">
        <v>55</v>
      </c>
      <c r="B14" s="5" t="s">
        <v>56</v>
      </c>
      <c r="C14" s="5" t="s">
        <v>26</v>
      </c>
      <c r="D14" s="5" t="s">
        <v>27</v>
      </c>
      <c r="E14" s="5" t="s">
        <v>57</v>
      </c>
      <c r="F14" s="9">
        <v>51</v>
      </c>
      <c r="G14" s="9">
        <v>553</v>
      </c>
      <c r="H14" s="5" t="s">
        <v>21</v>
      </c>
      <c r="I14" s="5" t="s">
        <v>58</v>
      </c>
      <c r="J14" s="12" t="str">
        <f>HYPERLINK("https://www.boe.es/gazeta/dias/1803/06/28/pdfs/GMD-1803-51.pdf#page=9","Abrir facsímil")</f>
        <v>Abrir facsímil</v>
      </c>
      <c r="K14" s="15" t="s">
        <v>23</v>
      </c>
    </row>
    <row r="15" spans="1:11" ht="42" customHeight="1">
      <c r="A15" s="4" t="s">
        <v>59</v>
      </c>
      <c r="B15" s="5" t="s">
        <v>60</v>
      </c>
      <c r="C15" s="5" t="s">
        <v>26</v>
      </c>
      <c r="D15" s="5" t="s">
        <v>27</v>
      </c>
      <c r="E15" s="5" t="s">
        <v>61</v>
      </c>
      <c r="F15" s="9">
        <v>67</v>
      </c>
      <c r="G15" s="9">
        <v>730</v>
      </c>
      <c r="H15" s="5" t="s">
        <v>21</v>
      </c>
      <c r="I15" s="5" t="s">
        <v>62</v>
      </c>
      <c r="J15" s="12" t="str">
        <f>HYPERLINK("https://www.boe.es/gazeta/dias/1803/08/23/pdfs/GMD-1803-67.pdf#page=10","Abrir facsímil")</f>
        <v>Abrir facsímil</v>
      </c>
      <c r="K15" s="15" t="s">
        <v>23</v>
      </c>
    </row>
    <row r="16" spans="1:11" ht="42" customHeight="1">
      <c r="A16" s="4" t="s">
        <v>63</v>
      </c>
      <c r="B16" s="5" t="s">
        <v>63</v>
      </c>
      <c r="C16" s="5" t="s">
        <v>26</v>
      </c>
      <c r="D16" s="5" t="s">
        <v>27</v>
      </c>
      <c r="E16" s="5" t="s">
        <v>64</v>
      </c>
      <c r="F16" s="9">
        <v>65</v>
      </c>
      <c r="G16" s="9">
        <v>704</v>
      </c>
      <c r="H16" s="5" t="s">
        <v>21</v>
      </c>
      <c r="I16" s="5" t="s">
        <v>65</v>
      </c>
      <c r="J16" s="12" t="str">
        <f>HYPERLINK("https://www.boe.es/gazeta/dias/1803/08/16/pdfs/GMD-1803-65.pdf#page=4","Abrir facsímil")</f>
        <v>Abrir facsímil</v>
      </c>
      <c r="K16" s="15" t="s">
        <v>23</v>
      </c>
    </row>
    <row r="17" spans="1:11" ht="42" customHeight="1">
      <c r="A17" s="4" t="s">
        <v>66</v>
      </c>
      <c r="B17" s="5" t="s">
        <v>67</v>
      </c>
      <c r="C17" s="5" t="s">
        <v>26</v>
      </c>
      <c r="D17" s="5" t="s">
        <v>27</v>
      </c>
      <c r="E17" s="5" t="s">
        <v>68</v>
      </c>
      <c r="F17" s="9">
        <v>23</v>
      </c>
      <c r="G17" s="9">
        <v>246</v>
      </c>
      <c r="H17" s="5" t="s">
        <v>21</v>
      </c>
      <c r="I17" s="5" t="s">
        <v>69</v>
      </c>
      <c r="J17" s="12" t="str">
        <f>HYPERLINK("https://www.boe.es/gazeta/dias/1803/03/22/pdfs/GMD-1803-23.pdf#page=6","Abrir facsímil")</f>
        <v>Abrir facsímil</v>
      </c>
      <c r="K17" s="15" t="s">
        <v>23</v>
      </c>
    </row>
    <row r="18" spans="1:11" ht="42" customHeight="1">
      <c r="A18" s="4" t="s">
        <v>70</v>
      </c>
      <c r="B18" s="5" t="s">
        <v>70</v>
      </c>
      <c r="C18" s="5" t="s">
        <v>26</v>
      </c>
      <c r="D18" s="5" t="s">
        <v>27</v>
      </c>
      <c r="E18" s="5" t="s">
        <v>71</v>
      </c>
      <c r="F18" s="9">
        <v>39</v>
      </c>
      <c r="G18" s="9">
        <v>407</v>
      </c>
      <c r="H18" s="5" t="s">
        <v>21</v>
      </c>
      <c r="I18" s="5" t="s">
        <v>72</v>
      </c>
      <c r="J18" s="12" t="str">
        <f>HYPERLINK("https://www.boe.es/gazeta/dias/1803/05/17/pdfs/GMD-1803-39.pdf#page=3","Abrir facsímil")</f>
        <v>Abrir facsímil</v>
      </c>
      <c r="K18" s="15" t="s">
        <v>23</v>
      </c>
    </row>
    <row r="19" spans="1:11" ht="42" customHeight="1">
      <c r="A19" s="4" t="s">
        <v>70</v>
      </c>
      <c r="B19" s="5" t="s">
        <v>70</v>
      </c>
      <c r="C19" s="5" t="s">
        <v>26</v>
      </c>
      <c r="D19" s="5" t="s">
        <v>27</v>
      </c>
      <c r="E19" s="5" t="s">
        <v>71</v>
      </c>
      <c r="F19" s="9">
        <v>39</v>
      </c>
      <c r="G19" s="9">
        <v>408</v>
      </c>
      <c r="H19" s="5" t="s">
        <v>21</v>
      </c>
      <c r="I19" s="5" t="s">
        <v>73</v>
      </c>
      <c r="J19" s="12" t="str">
        <f>HYPERLINK("https://www.boe.es/gazeta/dias/1803/05/17/pdfs/GMD-1803-39.pdf#page=4","Abrir facsímil")</f>
        <v>Abrir facsímil</v>
      </c>
      <c r="K19" s="15" t="s">
        <v>23</v>
      </c>
    </row>
    <row r="20" spans="1:11" ht="42" customHeight="1">
      <c r="A20" s="4" t="s">
        <v>70</v>
      </c>
      <c r="B20" s="5" t="s">
        <v>70</v>
      </c>
      <c r="C20" s="5" t="s">
        <v>40</v>
      </c>
      <c r="D20" s="5" t="s">
        <v>41</v>
      </c>
      <c r="E20" s="5" t="s">
        <v>57</v>
      </c>
      <c r="F20" s="9">
        <v>51</v>
      </c>
      <c r="G20" s="9">
        <v>547</v>
      </c>
      <c r="H20" s="5" t="s">
        <v>21</v>
      </c>
      <c r="I20" s="5" t="s">
        <v>74</v>
      </c>
      <c r="J20" s="12" t="str">
        <f>HYPERLINK("https://www.boe.es/gazeta/dias/1803/06/28/pdfs/GMD-1803-51.pdf#page=3","Abrir facsímil")</f>
        <v>Abrir facsímil</v>
      </c>
      <c r="K20" s="15" t="s">
        <v>23</v>
      </c>
    </row>
    <row r="21" spans="1:11" ht="42" customHeight="1">
      <c r="A21" s="4" t="s">
        <v>70</v>
      </c>
      <c r="B21" s="5" t="s">
        <v>70</v>
      </c>
      <c r="C21" s="5" t="s">
        <v>40</v>
      </c>
      <c r="D21" s="5" t="s">
        <v>41</v>
      </c>
      <c r="E21" s="5" t="s">
        <v>75</v>
      </c>
      <c r="F21" s="9">
        <v>56</v>
      </c>
      <c r="G21" s="9">
        <v>606</v>
      </c>
      <c r="H21" s="5" t="s">
        <v>21</v>
      </c>
      <c r="I21" s="5" t="s">
        <v>76</v>
      </c>
      <c r="J21" s="12" t="str">
        <f>HYPERLINK("https://www.boe.es/gazeta/dias/1803/07/15/pdfs/GMD-1803-56.pdf#page=2","Abrir facsímil")</f>
        <v>Abrir facsímil</v>
      </c>
      <c r="K21" s="15" t="s">
        <v>23</v>
      </c>
    </row>
    <row r="22" spans="1:11" ht="42" customHeight="1">
      <c r="A22" s="4" t="s">
        <v>70</v>
      </c>
      <c r="B22" s="5" t="s">
        <v>70</v>
      </c>
      <c r="C22" s="5" t="s">
        <v>46</v>
      </c>
      <c r="D22" s="5" t="s">
        <v>19</v>
      </c>
      <c r="E22" s="5" t="s">
        <v>77</v>
      </c>
      <c r="F22" s="9">
        <v>64</v>
      </c>
      <c r="G22" s="9">
        <v>695</v>
      </c>
      <c r="H22" s="5" t="s">
        <v>21</v>
      </c>
      <c r="I22" s="5" t="s">
        <v>78</v>
      </c>
      <c r="J22" s="12" t="str">
        <f>HYPERLINK("https://www.boe.es/gazeta/dias/1803/08/12/pdfs/GMD-1803-64.pdf#page=3","Abrir facsímil")</f>
        <v>Abrir facsímil</v>
      </c>
      <c r="K22" s="15" t="s">
        <v>23</v>
      </c>
    </row>
    <row r="23" spans="1:11" ht="42" customHeight="1">
      <c r="A23" s="4" t="s">
        <v>79</v>
      </c>
      <c r="B23" s="5" t="s">
        <v>79</v>
      </c>
      <c r="C23" s="5" t="s">
        <v>80</v>
      </c>
      <c r="D23" s="5" t="s">
        <v>81</v>
      </c>
      <c r="E23" s="5" t="s">
        <v>68</v>
      </c>
      <c r="F23" s="9">
        <v>23</v>
      </c>
      <c r="G23" s="9">
        <v>243</v>
      </c>
      <c r="H23" s="5" t="s">
        <v>21</v>
      </c>
      <c r="I23" s="5" t="s">
        <v>82</v>
      </c>
      <c r="J23" s="12" t="str">
        <f>HYPERLINK("https://www.boe.es/gazeta/dias/1803/03/22/pdfs/GMD-1803-23.pdf#page=3","Abrir facsímil")</f>
        <v>Abrir facsímil</v>
      </c>
      <c r="K23" s="15" t="s">
        <v>23</v>
      </c>
    </row>
    <row r="24" spans="1:11" ht="42" customHeight="1">
      <c r="A24" s="4" t="s">
        <v>79</v>
      </c>
      <c r="B24" s="5" t="s">
        <v>79</v>
      </c>
      <c r="C24" s="5" t="s">
        <v>40</v>
      </c>
      <c r="D24" s="5" t="s">
        <v>41</v>
      </c>
      <c r="E24" s="5" t="s">
        <v>83</v>
      </c>
      <c r="F24" s="9">
        <v>28</v>
      </c>
      <c r="G24" s="9">
        <v>299</v>
      </c>
      <c r="H24" s="5" t="s">
        <v>21</v>
      </c>
      <c r="I24" s="5" t="s">
        <v>84</v>
      </c>
      <c r="J24" s="12" t="str">
        <f>HYPERLINK("https://www.boe.es/gazeta/dias/1803/04/08/pdfs/GMD-1803-28.pdf#page=3","Abrir facsímil")</f>
        <v>Abrir facsímil</v>
      </c>
      <c r="K24" s="15" t="s">
        <v>23</v>
      </c>
    </row>
    <row r="25" spans="1:11" ht="42" customHeight="1">
      <c r="A25" s="4" t="s">
        <v>79</v>
      </c>
      <c r="B25" s="5" t="s">
        <v>79</v>
      </c>
      <c r="C25" s="5" t="s">
        <v>40</v>
      </c>
      <c r="D25" s="5" t="s">
        <v>41</v>
      </c>
      <c r="E25" s="5" t="s">
        <v>85</v>
      </c>
      <c r="F25" s="9">
        <v>49</v>
      </c>
      <c r="G25" s="9">
        <v>514</v>
      </c>
      <c r="H25" s="5" t="s">
        <v>21</v>
      </c>
      <c r="I25" s="5" t="s">
        <v>86</v>
      </c>
      <c r="J25" s="12" t="str">
        <f>HYPERLINK("https://www.boe.es/gazeta/dias/1803/06/21/pdfs/GMD-1803-49.pdf#page=2","Abrir facsímil")</f>
        <v>Abrir facsímil</v>
      </c>
      <c r="K25" s="15" t="s">
        <v>23</v>
      </c>
    </row>
    <row r="26" spans="1:11" ht="42" customHeight="1">
      <c r="A26" s="4" t="s">
        <v>87</v>
      </c>
      <c r="B26" s="5" t="s">
        <v>87</v>
      </c>
      <c r="C26" s="5" t="s">
        <v>46</v>
      </c>
      <c r="D26" s="5" t="s">
        <v>19</v>
      </c>
      <c r="E26" s="5" t="s">
        <v>88</v>
      </c>
      <c r="F26" s="9">
        <v>18</v>
      </c>
      <c r="G26" s="9">
        <v>191</v>
      </c>
      <c r="H26" s="5" t="s">
        <v>21</v>
      </c>
      <c r="I26" s="5" t="s">
        <v>89</v>
      </c>
      <c r="J26" s="12" t="str">
        <f>HYPERLINK("https://www.boe.es/gazeta/dias/1803/03/04/pdfs/GMD-1803-18.pdf#page=11","Abrir facsímil")</f>
        <v>Abrir facsímil</v>
      </c>
      <c r="K26" s="15" t="s">
        <v>23</v>
      </c>
    </row>
    <row r="27" spans="1:11" ht="42" customHeight="1">
      <c r="A27" s="4" t="s">
        <v>90</v>
      </c>
      <c r="B27" s="5" t="s">
        <v>90</v>
      </c>
      <c r="C27" s="5" t="s">
        <v>26</v>
      </c>
      <c r="D27" s="5" t="s">
        <v>27</v>
      </c>
      <c r="E27" s="5" t="s">
        <v>88</v>
      </c>
      <c r="F27" s="9">
        <v>18</v>
      </c>
      <c r="G27" s="9">
        <v>191</v>
      </c>
      <c r="H27" s="5" t="s">
        <v>21</v>
      </c>
      <c r="I27" s="5" t="s">
        <v>91</v>
      </c>
      <c r="J27" s="12" t="str">
        <f>HYPERLINK("https://www.boe.es/gazeta/dias/1803/03/04/pdfs/GMD-1803-18.pdf#page=11","Abrir facsímil")</f>
        <v>Abrir facsímil</v>
      </c>
      <c r="K27" s="15" t="s">
        <v>23</v>
      </c>
    </row>
    <row r="28" spans="1:11" ht="42" customHeight="1">
      <c r="A28" s="4" t="s">
        <v>92</v>
      </c>
      <c r="B28" s="5" t="s">
        <v>92</v>
      </c>
      <c r="C28" s="5" t="s">
        <v>26</v>
      </c>
      <c r="D28" s="5" t="s">
        <v>27</v>
      </c>
      <c r="E28" s="5" t="s">
        <v>93</v>
      </c>
      <c r="F28" s="9">
        <v>43</v>
      </c>
      <c r="G28" s="9">
        <v>450</v>
      </c>
      <c r="H28" s="5" t="s">
        <v>21</v>
      </c>
      <c r="I28" s="5" t="s">
        <v>94</v>
      </c>
      <c r="J28" s="12" t="str">
        <f>HYPERLINK("https://www.boe.es/gazeta/dias/1803/05/31/pdfs/GMD-1803-43.pdf#page=10","Abrir facsímil")</f>
        <v>Abrir facsímil</v>
      </c>
      <c r="K28" s="15" t="s">
        <v>23</v>
      </c>
    </row>
    <row r="29" spans="1:11" ht="42" customHeight="1">
      <c r="A29" s="4" t="s">
        <v>95</v>
      </c>
      <c r="B29" s="5" t="s">
        <v>95</v>
      </c>
      <c r="C29" s="5" t="s">
        <v>51</v>
      </c>
      <c r="D29" s="5" t="s">
        <v>52</v>
      </c>
      <c r="E29" s="5" t="s">
        <v>83</v>
      </c>
      <c r="F29" s="9">
        <v>28</v>
      </c>
      <c r="G29" s="9">
        <v>302</v>
      </c>
      <c r="H29" s="5" t="s">
        <v>21</v>
      </c>
      <c r="I29" s="5" t="s">
        <v>96</v>
      </c>
      <c r="J29" s="12" t="str">
        <f>HYPERLINK("https://www.boe.es/gazeta/dias/1803/04/08/pdfs/GMD-1803-28.pdf#page=6","Abrir facsímil")</f>
        <v>Abrir facsímil</v>
      </c>
      <c r="K29" s="15" t="s">
        <v>23</v>
      </c>
    </row>
    <row r="30" spans="1:11" ht="42" customHeight="1">
      <c r="A30" s="4" t="s">
        <v>97</v>
      </c>
      <c r="B30" s="5" t="s">
        <v>98</v>
      </c>
      <c r="C30" s="5" t="s">
        <v>26</v>
      </c>
      <c r="D30" s="5" t="s">
        <v>27</v>
      </c>
      <c r="E30" s="5" t="s">
        <v>99</v>
      </c>
      <c r="F30" s="9">
        <v>29</v>
      </c>
      <c r="G30" s="9">
        <v>311</v>
      </c>
      <c r="H30" s="5" t="s">
        <v>21</v>
      </c>
      <c r="I30" s="5" t="s">
        <v>100</v>
      </c>
      <c r="J30" s="12" t="str">
        <f>HYPERLINK("https://www.boe.es/gazeta/dias/1803/04/12/pdfs/GMD-1803-29.pdf#page=7","Abrir facsímil")</f>
        <v>Abrir facsímil</v>
      </c>
      <c r="K30" s="15" t="s">
        <v>23</v>
      </c>
    </row>
    <row r="31" spans="1:11" ht="42" customHeight="1">
      <c r="A31" s="4" t="s">
        <v>101</v>
      </c>
      <c r="B31" s="5" t="s">
        <v>101</v>
      </c>
      <c r="C31" s="5" t="s">
        <v>26</v>
      </c>
      <c r="D31" s="5" t="s">
        <v>27</v>
      </c>
      <c r="E31" s="5" t="s">
        <v>102</v>
      </c>
      <c r="F31" s="9">
        <v>31</v>
      </c>
      <c r="G31" s="9">
        <v>323</v>
      </c>
      <c r="H31" s="5" t="s">
        <v>21</v>
      </c>
      <c r="I31" s="5" t="s">
        <v>103</v>
      </c>
      <c r="J31" s="12" t="str">
        <f>HYPERLINK("https://www.boe.es/gazeta/dias/1803/04/19/pdfs/GMD-1803-31.pdf#page=3","Abrir facsímil")</f>
        <v>Abrir facsímil</v>
      </c>
      <c r="K31" s="15" t="s">
        <v>23</v>
      </c>
    </row>
    <row r="32" spans="1:11" ht="42" customHeight="1">
      <c r="A32" s="4" t="s">
        <v>104</v>
      </c>
      <c r="B32" s="5" t="s">
        <v>105</v>
      </c>
      <c r="C32" s="5" t="s">
        <v>26</v>
      </c>
      <c r="D32" s="5" t="s">
        <v>27</v>
      </c>
      <c r="E32" s="5" t="s">
        <v>88</v>
      </c>
      <c r="F32" s="9">
        <v>18</v>
      </c>
      <c r="G32" s="9">
        <v>188</v>
      </c>
      <c r="H32" s="5" t="s">
        <v>21</v>
      </c>
      <c r="I32" s="5" t="s">
        <v>106</v>
      </c>
      <c r="J32" s="12" t="str">
        <f>HYPERLINK("https://www.boe.es/gazeta/dias/1803/03/04/pdfs/GMD-1803-18.pdf#page=8","Abrir facsímil")</f>
        <v>Abrir facsímil</v>
      </c>
      <c r="K32" s="15" t="s">
        <v>23</v>
      </c>
    </row>
    <row r="33" spans="1:11" ht="42" customHeight="1">
      <c r="A33" s="4" t="s">
        <v>107</v>
      </c>
      <c r="B33" s="5" t="s">
        <v>108</v>
      </c>
      <c r="C33" s="5" t="s">
        <v>18</v>
      </c>
      <c r="D33" s="5" t="s">
        <v>19</v>
      </c>
      <c r="E33" s="5" t="s">
        <v>109</v>
      </c>
      <c r="F33" s="9">
        <v>102</v>
      </c>
      <c r="G33" s="9">
        <v>1097</v>
      </c>
      <c r="H33" s="5" t="s">
        <v>21</v>
      </c>
      <c r="I33" s="5" t="s">
        <v>110</v>
      </c>
      <c r="J33" s="12" t="str">
        <f>HYPERLINK("https://www.boe.es/gazeta/dias/1803/12/20/pdfs/GMD-1803-102.pdf#page=9","Abrir facsímil")</f>
        <v>Abrir facsímil</v>
      </c>
      <c r="K33" s="15" t="s">
        <v>23</v>
      </c>
    </row>
    <row r="34" spans="1:11" ht="42" customHeight="1">
      <c r="A34" s="4" t="s">
        <v>111</v>
      </c>
      <c r="B34" s="5" t="s">
        <v>112</v>
      </c>
      <c r="C34" s="5" t="s">
        <v>40</v>
      </c>
      <c r="D34" s="5" t="s">
        <v>41</v>
      </c>
      <c r="E34" s="5" t="s">
        <v>113</v>
      </c>
      <c r="F34" s="9">
        <v>93</v>
      </c>
      <c r="G34" s="9">
        <v>994</v>
      </c>
      <c r="H34" s="5" t="s">
        <v>21</v>
      </c>
      <c r="I34" s="5" t="s">
        <v>114</v>
      </c>
      <c r="J34" s="12" t="str">
        <f>HYPERLINK("https://www.boe.es/gazeta/dias/1803/11/18/pdfs/GMD-1803-93.pdf#page=6","Abrir facsímil")</f>
        <v>Abrir facsímil</v>
      </c>
      <c r="K34" s="15" t="s">
        <v>23</v>
      </c>
    </row>
    <row r="35" spans="1:11" ht="42" customHeight="1">
      <c r="A35" s="4" t="s">
        <v>115</v>
      </c>
      <c r="B35" s="5" t="s">
        <v>116</v>
      </c>
      <c r="C35" s="5" t="s">
        <v>18</v>
      </c>
      <c r="D35" s="5" t="s">
        <v>19</v>
      </c>
      <c r="E35" s="5" t="s">
        <v>117</v>
      </c>
      <c r="F35" s="9">
        <v>59</v>
      </c>
      <c r="G35" s="9">
        <v>646</v>
      </c>
      <c r="H35" s="5" t="s">
        <v>21</v>
      </c>
      <c r="I35" s="5" t="s">
        <v>118</v>
      </c>
      <c r="J35" s="12" t="str">
        <f>HYPERLINK("https://www.boe.es/gazeta/dias/1803/07/26/pdfs/GMD-1803-59.pdf#page=6","Abrir facsímil")</f>
        <v>Abrir facsímil</v>
      </c>
      <c r="K35" s="15" t="s">
        <v>23</v>
      </c>
    </row>
    <row r="36" spans="1:11" ht="42" customHeight="1">
      <c r="A36" s="4" t="s">
        <v>119</v>
      </c>
      <c r="B36" s="5" t="s">
        <v>120</v>
      </c>
      <c r="C36" s="5" t="s">
        <v>26</v>
      </c>
      <c r="D36" s="5" t="s">
        <v>27</v>
      </c>
      <c r="E36" s="5" t="s">
        <v>36</v>
      </c>
      <c r="F36" s="9">
        <v>79</v>
      </c>
      <c r="G36" s="9">
        <v>854</v>
      </c>
      <c r="H36" s="5" t="s">
        <v>21</v>
      </c>
      <c r="I36" s="5" t="s">
        <v>121</v>
      </c>
      <c r="J36" s="12" t="str">
        <f>HYPERLINK("https://www.boe.es/gazeta/dias/1803/09/30/pdfs/GMD-1803-79.pdf#page=6","Abrir facsímil")</f>
        <v>Abrir facsímil</v>
      </c>
      <c r="K36" s="15" t="s">
        <v>23</v>
      </c>
    </row>
    <row r="37" spans="1:11" ht="42" customHeight="1">
      <c r="A37" s="4" t="s">
        <v>122</v>
      </c>
      <c r="B37" s="5" t="s">
        <v>123</v>
      </c>
      <c r="C37" s="5" t="s">
        <v>26</v>
      </c>
      <c r="D37" s="5" t="s">
        <v>27</v>
      </c>
      <c r="E37" s="5" t="s">
        <v>124</v>
      </c>
      <c r="F37" s="9">
        <v>20</v>
      </c>
      <c r="G37" s="9">
        <v>210</v>
      </c>
      <c r="H37" s="5" t="s">
        <v>21</v>
      </c>
      <c r="I37" s="5" t="s">
        <v>125</v>
      </c>
      <c r="J37" s="12" t="str">
        <f>HYPERLINK("https://www.boe.es/gazeta/dias/1803/03/11/pdfs/GMD-1803-20.pdf#page=6","Abrir facsímil")</f>
        <v>Abrir facsímil</v>
      </c>
      <c r="K37" s="15" t="s">
        <v>23</v>
      </c>
    </row>
    <row r="38" spans="1:11" ht="42" customHeight="1">
      <c r="A38" s="4" t="s">
        <v>126</v>
      </c>
      <c r="B38" s="5" t="s">
        <v>127</v>
      </c>
      <c r="C38" s="5" t="s">
        <v>26</v>
      </c>
      <c r="D38" s="5" t="s">
        <v>27</v>
      </c>
      <c r="E38" s="5" t="s">
        <v>128</v>
      </c>
      <c r="F38" s="9">
        <v>80</v>
      </c>
      <c r="G38" s="9">
        <v>864</v>
      </c>
      <c r="H38" s="5" t="s">
        <v>21</v>
      </c>
      <c r="I38" s="5" t="s">
        <v>129</v>
      </c>
      <c r="J38" s="12" t="str">
        <f>HYPERLINK("https://www.boe.es/gazeta/dias/1803/10/04/pdfs/GMD-1803-80.pdf#page=8","Abrir facsímil")</f>
        <v>Abrir facsímil</v>
      </c>
      <c r="K38" s="15" t="s">
        <v>23</v>
      </c>
    </row>
    <row r="39" spans="1:11" ht="42" customHeight="1">
      <c r="A39" s="4" t="s">
        <v>130</v>
      </c>
      <c r="B39" s="5" t="s">
        <v>131</v>
      </c>
      <c r="C39" s="5" t="s">
        <v>40</v>
      </c>
      <c r="D39" s="5" t="s">
        <v>41</v>
      </c>
      <c r="E39" s="5" t="s">
        <v>132</v>
      </c>
      <c r="F39" s="9">
        <v>58</v>
      </c>
      <c r="G39" s="9">
        <v>639</v>
      </c>
      <c r="H39" s="5" t="s">
        <v>21</v>
      </c>
      <c r="I39" s="5" t="s">
        <v>133</v>
      </c>
      <c r="J39" s="12" t="str">
        <f>HYPERLINK("https://www.boe.es/gazeta/dias/1803/07/22/pdfs/GMD-1803-58.pdf#page=11","Abrir facsímil")</f>
        <v>Abrir facsímil</v>
      </c>
      <c r="K39" s="15" t="s">
        <v>23</v>
      </c>
    </row>
    <row r="40" spans="1:11" ht="42" customHeight="1">
      <c r="A40" s="4" t="s">
        <v>134</v>
      </c>
      <c r="B40" s="5" t="s">
        <v>134</v>
      </c>
      <c r="C40" s="5" t="s">
        <v>51</v>
      </c>
      <c r="D40" s="5" t="s">
        <v>52</v>
      </c>
      <c r="E40" s="5" t="s">
        <v>93</v>
      </c>
      <c r="F40" s="9">
        <v>43</v>
      </c>
      <c r="G40" s="9">
        <v>452</v>
      </c>
      <c r="H40" s="5" t="s">
        <v>21</v>
      </c>
      <c r="I40" s="5" t="s">
        <v>135</v>
      </c>
      <c r="J40" s="12" t="str">
        <f>HYPERLINK("https://www.boe.es/gazeta/dias/1803/05/31/pdfs/GMD-1803-43.pdf#page=12","Abrir facsímil")</f>
        <v>Abrir facsímil</v>
      </c>
      <c r="K40" s="15" t="s">
        <v>23</v>
      </c>
    </row>
    <row r="41" spans="1:11" ht="42" customHeight="1">
      <c r="A41" s="4" t="s">
        <v>136</v>
      </c>
      <c r="B41" s="5" t="s">
        <v>137</v>
      </c>
      <c r="C41" s="5" t="s">
        <v>46</v>
      </c>
      <c r="D41" s="5" t="s">
        <v>19</v>
      </c>
      <c r="E41" s="5" t="s">
        <v>138</v>
      </c>
      <c r="F41" s="9">
        <v>68</v>
      </c>
      <c r="G41" s="9">
        <v>744</v>
      </c>
      <c r="H41" s="5" t="s">
        <v>21</v>
      </c>
      <c r="I41" s="5" t="s">
        <v>139</v>
      </c>
      <c r="J41" s="12" t="str">
        <f>HYPERLINK("https://www.boe.es/gazeta/dias/1803/08/26/pdfs/GMD-1803-68.pdf#page=12","Abrir facsímil")</f>
        <v>Abrir facsímil</v>
      </c>
      <c r="K41" s="15" t="s">
        <v>23</v>
      </c>
    </row>
    <row r="42" spans="1:11" ht="42" customHeight="1">
      <c r="A42" s="4" t="s">
        <v>140</v>
      </c>
      <c r="B42" s="5" t="s">
        <v>141</v>
      </c>
      <c r="C42" s="5" t="s">
        <v>51</v>
      </c>
      <c r="D42" s="5" t="s">
        <v>52</v>
      </c>
      <c r="E42" s="5" t="s">
        <v>71</v>
      </c>
      <c r="F42" s="9">
        <v>39</v>
      </c>
      <c r="G42" s="9">
        <v>414</v>
      </c>
      <c r="H42" s="5" t="s">
        <v>21</v>
      </c>
      <c r="I42" s="5" t="s">
        <v>142</v>
      </c>
      <c r="J42" s="12" t="str">
        <f>HYPERLINK("https://www.boe.es/gazeta/dias/1803/05/17/pdfs/GMD-1803-39.pdf#page=10","Abrir facsímil")</f>
        <v>Abrir facsímil</v>
      </c>
      <c r="K42" s="15" t="s">
        <v>23</v>
      </c>
    </row>
    <row r="43" spans="1:11" ht="42" customHeight="1">
      <c r="A43" s="4" t="s">
        <v>143</v>
      </c>
      <c r="B43" s="5" t="s">
        <v>144</v>
      </c>
      <c r="C43" s="5" t="s">
        <v>51</v>
      </c>
      <c r="D43" s="5" t="s">
        <v>52</v>
      </c>
      <c r="E43" s="5" t="s">
        <v>71</v>
      </c>
      <c r="F43" s="9">
        <v>39</v>
      </c>
      <c r="G43" s="9">
        <v>414</v>
      </c>
      <c r="H43" s="5" t="s">
        <v>21</v>
      </c>
      <c r="I43" s="5" t="s">
        <v>145</v>
      </c>
      <c r="J43" s="12" t="str">
        <f>HYPERLINK("https://www.boe.es/gazeta/dias/1803/05/17/pdfs/GMD-1803-39.pdf#page=10","Abrir facsímil")</f>
        <v>Abrir facsímil</v>
      </c>
      <c r="K43" s="15" t="s">
        <v>23</v>
      </c>
    </row>
    <row r="44" spans="1:11" ht="42" customHeight="1">
      <c r="A44" s="4" t="s">
        <v>146</v>
      </c>
      <c r="B44" s="5" t="s">
        <v>147</v>
      </c>
      <c r="C44" s="5" t="s">
        <v>26</v>
      </c>
      <c r="D44" s="5" t="s">
        <v>27</v>
      </c>
      <c r="E44" s="5" t="s">
        <v>148</v>
      </c>
      <c r="F44" s="9">
        <v>15</v>
      </c>
      <c r="G44" s="9">
        <v>157</v>
      </c>
      <c r="H44" s="5" t="s">
        <v>21</v>
      </c>
      <c r="I44" s="5" t="s">
        <v>149</v>
      </c>
      <c r="J44" s="12" t="str">
        <f>HYPERLINK("https://www.boe.es/gazeta/dias/1803/02/22/pdfs/GMD-1803-15.pdf#page=9","Abrir facsímil")</f>
        <v>Abrir facsímil</v>
      </c>
      <c r="K44" s="15" t="s">
        <v>23</v>
      </c>
    </row>
    <row r="45" spans="1:11" ht="42" customHeight="1">
      <c r="A45" s="4" t="s">
        <v>150</v>
      </c>
      <c r="B45" s="5" t="s">
        <v>151</v>
      </c>
      <c r="C45" s="5" t="s">
        <v>51</v>
      </c>
      <c r="D45" s="5" t="s">
        <v>52</v>
      </c>
      <c r="E45" s="5" t="s">
        <v>152</v>
      </c>
      <c r="F45" s="9">
        <v>16</v>
      </c>
      <c r="G45" s="9">
        <v>167</v>
      </c>
      <c r="H45" s="5" t="s">
        <v>21</v>
      </c>
      <c r="I45" s="5" t="s">
        <v>153</v>
      </c>
      <c r="J45" s="12" t="str">
        <f>HYPERLINK("https://www.boe.es/gazeta/dias/1803/02/25/pdfs/GMD-1803-16.pdf#page=7","Abrir facsímil")</f>
        <v>Abrir facsímil</v>
      </c>
      <c r="K45" s="15" t="s">
        <v>23</v>
      </c>
    </row>
    <row r="46" spans="1:11" ht="42" customHeight="1">
      <c r="A46" s="4" t="s">
        <v>154</v>
      </c>
      <c r="B46" s="5" t="s">
        <v>155</v>
      </c>
      <c r="C46" s="5" t="s">
        <v>26</v>
      </c>
      <c r="D46" s="5" t="s">
        <v>27</v>
      </c>
      <c r="E46" s="5" t="s">
        <v>156</v>
      </c>
      <c r="F46" s="9">
        <v>2</v>
      </c>
      <c r="G46" s="9">
        <v>17</v>
      </c>
      <c r="H46" s="5" t="s">
        <v>21</v>
      </c>
      <c r="I46" s="5" t="s">
        <v>157</v>
      </c>
      <c r="J46" s="12" t="str">
        <f>HYPERLINK("https://www.boe.es/gazeta/dias/1803/01/07/pdfs/GMD-1803-2.pdf#page=9","Abrir facsímil")</f>
        <v>Abrir facsímil</v>
      </c>
      <c r="K46" s="15" t="s">
        <v>23</v>
      </c>
    </row>
    <row r="47" spans="1:11" ht="42" customHeight="1">
      <c r="A47" s="4" t="s">
        <v>158</v>
      </c>
      <c r="B47" s="5" t="s">
        <v>159</v>
      </c>
      <c r="C47" s="5" t="s">
        <v>18</v>
      </c>
      <c r="D47" s="5" t="s">
        <v>19</v>
      </c>
      <c r="E47" s="5" t="s">
        <v>160</v>
      </c>
      <c r="F47" s="9">
        <v>81</v>
      </c>
      <c r="G47" s="9">
        <v>872</v>
      </c>
      <c r="H47" s="5" t="s">
        <v>21</v>
      </c>
      <c r="I47" s="5" t="s">
        <v>161</v>
      </c>
      <c r="J47" s="12" t="str">
        <f>HYPERLINK("https://www.boe.es/gazeta/dias/1803/10/07/pdfs/GMD-1803-81.pdf#page=8","Abrir facsímil")</f>
        <v>Abrir facsímil</v>
      </c>
      <c r="K47" s="15" t="s">
        <v>23</v>
      </c>
    </row>
    <row r="48" spans="1:11" ht="42" customHeight="1">
      <c r="A48" s="4" t="s">
        <v>162</v>
      </c>
      <c r="B48" s="5" t="s">
        <v>163</v>
      </c>
      <c r="C48" s="5" t="s">
        <v>40</v>
      </c>
      <c r="D48" s="5" t="s">
        <v>41</v>
      </c>
      <c r="E48" s="5" t="s">
        <v>164</v>
      </c>
      <c r="F48" s="9">
        <v>84</v>
      </c>
      <c r="G48" s="9">
        <v>901</v>
      </c>
      <c r="H48" s="5" t="s">
        <v>21</v>
      </c>
      <c r="I48" s="5" t="s">
        <v>165</v>
      </c>
      <c r="J48" s="12" t="str">
        <f>HYPERLINK("https://www.boe.es/gazeta/dias/1803/10/18/pdfs/GMD-1803-84.pdf#page=5","Abrir facsímil")</f>
        <v>Abrir facsímil</v>
      </c>
      <c r="K48" s="15" t="s">
        <v>23</v>
      </c>
    </row>
    <row r="49" spans="1:11" ht="42" customHeight="1">
      <c r="A49" s="4" t="s">
        <v>166</v>
      </c>
      <c r="B49" s="5" t="s">
        <v>167</v>
      </c>
      <c r="C49" s="5" t="s">
        <v>40</v>
      </c>
      <c r="D49" s="5" t="s">
        <v>41</v>
      </c>
      <c r="E49" s="5" t="s">
        <v>164</v>
      </c>
      <c r="F49" s="9">
        <v>84</v>
      </c>
      <c r="G49" s="9">
        <v>902</v>
      </c>
      <c r="H49" s="5" t="s">
        <v>21</v>
      </c>
      <c r="I49" s="5" t="s">
        <v>168</v>
      </c>
      <c r="J49" s="12" t="str">
        <f>HYPERLINK("https://www.boe.es/gazeta/dias/1803/10/18/pdfs/GMD-1803-84.pdf#page=6","Abrir facsímil")</f>
        <v>Abrir facsímil</v>
      </c>
      <c r="K49" s="15" t="s">
        <v>23</v>
      </c>
    </row>
    <row r="50" spans="1:11" ht="42" customHeight="1">
      <c r="A50" s="4" t="s">
        <v>169</v>
      </c>
      <c r="B50" s="5" t="s">
        <v>170</v>
      </c>
      <c r="C50" s="5" t="s">
        <v>46</v>
      </c>
      <c r="D50" s="5" t="s">
        <v>19</v>
      </c>
      <c r="E50" s="5" t="s">
        <v>128</v>
      </c>
      <c r="F50" s="9">
        <v>80</v>
      </c>
      <c r="G50" s="9">
        <v>864</v>
      </c>
      <c r="H50" s="5" t="s">
        <v>21</v>
      </c>
      <c r="I50" s="5" t="s">
        <v>171</v>
      </c>
      <c r="J50" s="12" t="str">
        <f>HYPERLINK("https://www.boe.es/gazeta/dias/1803/10/04/pdfs/GMD-1803-80.pdf#page=8","Abrir facsímil")</f>
        <v>Abrir facsímil</v>
      </c>
      <c r="K50" s="15" t="s">
        <v>23</v>
      </c>
    </row>
    <row r="51" spans="1:11" ht="42" customHeight="1">
      <c r="A51" s="4" t="s">
        <v>172</v>
      </c>
      <c r="B51" s="5" t="s">
        <v>173</v>
      </c>
      <c r="C51" s="5" t="s">
        <v>51</v>
      </c>
      <c r="D51" s="5" t="s">
        <v>52</v>
      </c>
      <c r="E51" s="5" t="s">
        <v>174</v>
      </c>
      <c r="F51" s="9">
        <v>21</v>
      </c>
      <c r="G51" s="9">
        <v>223</v>
      </c>
      <c r="H51" s="5" t="s">
        <v>21</v>
      </c>
      <c r="I51" s="5" t="s">
        <v>175</v>
      </c>
      <c r="J51" s="12" t="str">
        <f>HYPERLINK("https://www.boe.es/gazeta/dias/1803/03/15/pdfs/GMD-1803-21.pdf#page=7","Abrir facsímil")</f>
        <v>Abrir facsímil</v>
      </c>
      <c r="K51" s="15" t="s">
        <v>23</v>
      </c>
    </row>
    <row r="52" spans="1:11" ht="42" customHeight="1">
      <c r="A52" s="4" t="s">
        <v>176</v>
      </c>
      <c r="B52" s="5" t="s">
        <v>177</v>
      </c>
      <c r="C52" s="5" t="s">
        <v>46</v>
      </c>
      <c r="D52" s="5" t="s">
        <v>19</v>
      </c>
      <c r="E52" s="5" t="s">
        <v>178</v>
      </c>
      <c r="F52" s="9">
        <v>36</v>
      </c>
      <c r="G52" s="9">
        <v>375</v>
      </c>
      <c r="H52" s="5" t="s">
        <v>21</v>
      </c>
      <c r="I52" s="5" t="s">
        <v>179</v>
      </c>
      <c r="J52" s="12" t="str">
        <f>HYPERLINK("https://www.boe.es/gazeta/dias/1803/05/06/pdfs/GMD-1803-36.pdf#page=7","Abrir facsímil")</f>
        <v>Abrir facsímil</v>
      </c>
      <c r="K52" s="15" t="s">
        <v>23</v>
      </c>
    </row>
    <row r="53" spans="1:11" ht="42" customHeight="1">
      <c r="A53" s="4" t="s">
        <v>176</v>
      </c>
      <c r="B53" s="5" t="s">
        <v>177</v>
      </c>
      <c r="C53" s="5" t="s">
        <v>26</v>
      </c>
      <c r="D53" s="5" t="s">
        <v>27</v>
      </c>
      <c r="E53" s="5" t="s">
        <v>36</v>
      </c>
      <c r="F53" s="9">
        <v>79</v>
      </c>
      <c r="G53" s="9">
        <v>854</v>
      </c>
      <c r="H53" s="5" t="s">
        <v>21</v>
      </c>
      <c r="I53" s="5" t="s">
        <v>180</v>
      </c>
      <c r="J53" s="12" t="str">
        <f>HYPERLINK("https://www.boe.es/gazeta/dias/1803/09/30/pdfs/GMD-1803-79.pdf#page=6","Abrir facsímil")</f>
        <v>Abrir facsímil</v>
      </c>
      <c r="K53" s="15" t="s">
        <v>23</v>
      </c>
    </row>
    <row r="54" spans="1:11" ht="42" customHeight="1">
      <c r="A54" s="4" t="s">
        <v>181</v>
      </c>
      <c r="B54" s="5" t="s">
        <v>182</v>
      </c>
      <c r="C54" s="5" t="s">
        <v>51</v>
      </c>
      <c r="D54" s="5" t="s">
        <v>52</v>
      </c>
      <c r="E54" s="5" t="s">
        <v>113</v>
      </c>
      <c r="F54" s="9">
        <v>93</v>
      </c>
      <c r="G54" s="9">
        <v>995</v>
      </c>
      <c r="H54" s="5" t="s">
        <v>21</v>
      </c>
      <c r="I54" s="5" t="s">
        <v>183</v>
      </c>
      <c r="J54" s="12" t="str">
        <f>HYPERLINK("https://www.boe.es/gazeta/dias/1803/11/18/pdfs/GMD-1803-93.pdf#page=7","Abrir facsímil")</f>
        <v>Abrir facsímil</v>
      </c>
      <c r="K54" s="15" t="s">
        <v>23</v>
      </c>
    </row>
    <row r="55" spans="1:11" ht="42" customHeight="1">
      <c r="A55" s="4" t="s">
        <v>184</v>
      </c>
      <c r="B55" s="5" t="s">
        <v>185</v>
      </c>
      <c r="C55" s="5" t="s">
        <v>18</v>
      </c>
      <c r="D55" s="5" t="s">
        <v>19</v>
      </c>
      <c r="E55" s="5" t="s">
        <v>109</v>
      </c>
      <c r="F55" s="9">
        <v>102</v>
      </c>
      <c r="G55" s="9">
        <v>1097</v>
      </c>
      <c r="H55" s="5" t="s">
        <v>21</v>
      </c>
      <c r="I55" s="5" t="s">
        <v>186</v>
      </c>
      <c r="J55" s="12" t="str">
        <f>HYPERLINK("https://www.boe.es/gazeta/dias/1803/12/20/pdfs/GMD-1803-102.pdf#page=9","Abrir facsímil")</f>
        <v>Abrir facsímil</v>
      </c>
      <c r="K55" s="15" t="s">
        <v>23</v>
      </c>
    </row>
    <row r="56" spans="1:11" ht="42" customHeight="1">
      <c r="A56" s="4" t="s">
        <v>187</v>
      </c>
      <c r="B56" s="5" t="s">
        <v>188</v>
      </c>
      <c r="C56" s="5" t="s">
        <v>51</v>
      </c>
      <c r="D56" s="5" t="s">
        <v>52</v>
      </c>
      <c r="E56" s="5" t="s">
        <v>189</v>
      </c>
      <c r="F56" s="9">
        <v>9</v>
      </c>
      <c r="G56" s="9">
        <v>94</v>
      </c>
      <c r="H56" s="5" t="s">
        <v>21</v>
      </c>
      <c r="I56" s="5" t="s">
        <v>190</v>
      </c>
      <c r="J56" s="12" t="str">
        <f>HYPERLINK("https://www.boe.es/gazeta/dias/1803/02/01/pdfs/GMD-1803-9.pdf#page=10","Abrir facsímil")</f>
        <v>Abrir facsímil</v>
      </c>
      <c r="K56" s="15" t="s">
        <v>23</v>
      </c>
    </row>
    <row r="57" spans="1:11" ht="42" customHeight="1">
      <c r="A57" s="4" t="s">
        <v>187</v>
      </c>
      <c r="B57" s="5" t="s">
        <v>188</v>
      </c>
      <c r="C57" s="5" t="s">
        <v>46</v>
      </c>
      <c r="D57" s="5" t="s">
        <v>19</v>
      </c>
      <c r="E57" s="5" t="s">
        <v>191</v>
      </c>
      <c r="F57" s="9">
        <v>34</v>
      </c>
      <c r="G57" s="9" t="s">
        <v>192</v>
      </c>
      <c r="H57" s="5" t="s">
        <v>21</v>
      </c>
      <c r="I57" s="5" t="s">
        <v>193</v>
      </c>
      <c r="J57" s="12" t="str">
        <f>HYPERLINK("https://www.boe.es/gazeta/dias/1803/04/29/pdfs/GMD-C-1803-34.pdf#page=12","Abrir facsímil")</f>
        <v>Abrir facsímil</v>
      </c>
      <c r="K57" s="15" t="s">
        <v>23</v>
      </c>
    </row>
    <row r="58" spans="1:11" ht="42" customHeight="1">
      <c r="A58" s="4" t="s">
        <v>194</v>
      </c>
      <c r="B58" s="5" t="s">
        <v>195</v>
      </c>
      <c r="C58" s="5" t="s">
        <v>26</v>
      </c>
      <c r="D58" s="5" t="s">
        <v>27</v>
      </c>
      <c r="E58" s="5" t="s">
        <v>138</v>
      </c>
      <c r="F58" s="9">
        <v>68</v>
      </c>
      <c r="G58" s="9">
        <v>741</v>
      </c>
      <c r="H58" s="5" t="s">
        <v>21</v>
      </c>
      <c r="I58" s="5" t="s">
        <v>196</v>
      </c>
      <c r="J58" s="12" t="str">
        <f>HYPERLINK("https://www.boe.es/gazeta/dias/1803/08/26/pdfs/GMD-1803-68.pdf#page=9","Abrir facsímil")</f>
        <v>Abrir facsímil</v>
      </c>
      <c r="K58" s="15" t="s">
        <v>23</v>
      </c>
    </row>
    <row r="59" spans="1:11" ht="42" customHeight="1">
      <c r="A59" s="4" t="s">
        <v>197</v>
      </c>
      <c r="B59" s="5" t="s">
        <v>198</v>
      </c>
      <c r="C59" s="5" t="s">
        <v>18</v>
      </c>
      <c r="D59" s="5" t="s">
        <v>19</v>
      </c>
      <c r="E59" s="5" t="s">
        <v>199</v>
      </c>
      <c r="F59" s="9">
        <v>88</v>
      </c>
      <c r="G59" s="9">
        <v>944</v>
      </c>
      <c r="H59" s="5" t="s">
        <v>21</v>
      </c>
      <c r="I59" s="5" t="s">
        <v>200</v>
      </c>
      <c r="J59" s="12" t="str">
        <f>HYPERLINK("https://www.boe.es/gazeta/dias/1803/11/01/pdfs/GMD-1803-88.pdf#page=4","Abrir facsímil")</f>
        <v>Abrir facsímil</v>
      </c>
      <c r="K59" s="15" t="s">
        <v>23</v>
      </c>
    </row>
    <row r="60" spans="1:11" ht="42" customHeight="1">
      <c r="A60" s="4" t="s">
        <v>201</v>
      </c>
      <c r="B60" s="5" t="s">
        <v>202</v>
      </c>
      <c r="C60" s="5" t="s">
        <v>26</v>
      </c>
      <c r="D60" s="5" t="s">
        <v>27</v>
      </c>
      <c r="E60" s="5" t="s">
        <v>203</v>
      </c>
      <c r="F60" s="9">
        <v>32</v>
      </c>
      <c r="G60" s="9">
        <v>336</v>
      </c>
      <c r="H60" s="5" t="s">
        <v>21</v>
      </c>
      <c r="I60" s="5" t="s">
        <v>204</v>
      </c>
      <c r="J60" s="12" t="str">
        <f>HYPERLINK("https://www.boe.es/gazeta/dias/1803/04/22/pdfs/GMD-1803-32.pdf#page=8","Abrir facsímil")</f>
        <v>Abrir facsímil</v>
      </c>
      <c r="K60" s="15" t="s">
        <v>23</v>
      </c>
    </row>
    <row r="61" spans="1:11" ht="42" customHeight="1">
      <c r="A61" s="4" t="s">
        <v>205</v>
      </c>
      <c r="B61" s="5" t="s">
        <v>206</v>
      </c>
      <c r="C61" s="5" t="s">
        <v>26</v>
      </c>
      <c r="D61" s="5" t="s">
        <v>27</v>
      </c>
      <c r="E61" s="5" t="s">
        <v>207</v>
      </c>
      <c r="F61" s="9">
        <v>27</v>
      </c>
      <c r="G61" s="9">
        <v>292</v>
      </c>
      <c r="H61" s="5" t="s">
        <v>21</v>
      </c>
      <c r="I61" s="5" t="s">
        <v>208</v>
      </c>
      <c r="J61" s="12" t="str">
        <f>HYPERLINK("https://www.boe.es/gazeta/dias/1803/04/05/pdfs/GMD-1803-27.pdf#page=8","Abrir facsímil")</f>
        <v>Abrir facsímil</v>
      </c>
      <c r="K61" s="15" t="s">
        <v>23</v>
      </c>
    </row>
    <row r="62" spans="1:11" ht="42" customHeight="1">
      <c r="A62" s="4" t="s">
        <v>209</v>
      </c>
      <c r="B62" s="5" t="s">
        <v>210</v>
      </c>
      <c r="C62" s="5" t="s">
        <v>26</v>
      </c>
      <c r="D62" s="5" t="s">
        <v>27</v>
      </c>
      <c r="E62" s="5" t="s">
        <v>211</v>
      </c>
      <c r="F62" s="9">
        <v>71</v>
      </c>
      <c r="G62" s="9">
        <v>778</v>
      </c>
      <c r="H62" s="5" t="s">
        <v>21</v>
      </c>
      <c r="I62" s="5" t="s">
        <v>212</v>
      </c>
      <c r="J62" s="12" t="str">
        <f>HYPERLINK("https://www.boe.es/gazeta/dias/1803/09/06/pdfs/GMD-1803-71.pdf#page=10","Abrir facsímil")</f>
        <v>Abrir facsímil</v>
      </c>
      <c r="K62" s="15" t="s">
        <v>23</v>
      </c>
    </row>
    <row r="63" spans="1:11" ht="42" customHeight="1">
      <c r="A63" s="4" t="s">
        <v>213</v>
      </c>
      <c r="B63" s="5" t="s">
        <v>213</v>
      </c>
      <c r="C63" s="5" t="s">
        <v>40</v>
      </c>
      <c r="D63" s="5" t="s">
        <v>41</v>
      </c>
      <c r="E63" s="5" t="s">
        <v>214</v>
      </c>
      <c r="F63" s="9">
        <v>17</v>
      </c>
      <c r="G63" s="9">
        <v>173</v>
      </c>
      <c r="H63" s="5" t="s">
        <v>21</v>
      </c>
      <c r="I63" s="5" t="s">
        <v>215</v>
      </c>
      <c r="J63" s="12" t="str">
        <f>HYPERLINK("https://www.boe.es/gazeta/dias/1803/03/01/pdfs/GMD-1803-17.pdf#page=5","Abrir facsímil")</f>
        <v>Abrir facsímil</v>
      </c>
      <c r="K63" s="15" t="s">
        <v>23</v>
      </c>
    </row>
    <row r="64" spans="1:11" ht="42" customHeight="1">
      <c r="A64" s="4" t="s">
        <v>216</v>
      </c>
      <c r="B64" s="5" t="s">
        <v>217</v>
      </c>
      <c r="C64" s="5" t="s">
        <v>26</v>
      </c>
      <c r="D64" s="5" t="s">
        <v>27</v>
      </c>
      <c r="E64" s="5" t="s">
        <v>218</v>
      </c>
      <c r="F64" s="9">
        <v>19</v>
      </c>
      <c r="G64" s="9">
        <v>202</v>
      </c>
      <c r="H64" s="5" t="s">
        <v>21</v>
      </c>
      <c r="I64" s="5" t="s">
        <v>219</v>
      </c>
      <c r="J64" s="12" t="str">
        <f>HYPERLINK("https://www.boe.es/gazeta/dias/1803/03/08/pdfs/GMD-1803-19.pdf#page=10","Abrir facsímil")</f>
        <v>Abrir facsímil</v>
      </c>
      <c r="K64" s="15" t="s">
        <v>23</v>
      </c>
    </row>
    <row r="65" spans="1:11" ht="42" customHeight="1">
      <c r="A65" s="4" t="s">
        <v>220</v>
      </c>
      <c r="B65" s="5" t="s">
        <v>221</v>
      </c>
      <c r="C65" s="5" t="s">
        <v>26</v>
      </c>
      <c r="D65" s="5" t="s">
        <v>27</v>
      </c>
      <c r="E65" s="5" t="s">
        <v>28</v>
      </c>
      <c r="F65" s="9">
        <v>92</v>
      </c>
      <c r="G65" s="9">
        <v>986</v>
      </c>
      <c r="H65" s="5" t="s">
        <v>21</v>
      </c>
      <c r="I65" s="5" t="s">
        <v>222</v>
      </c>
      <c r="J65" s="12" t="str">
        <f>HYPERLINK("https://www.boe.es/gazeta/dias/1803/11/15/pdfs/GMD-1803-92.pdf#page=6","Abrir facsímil")</f>
        <v>Abrir facsímil</v>
      </c>
      <c r="K65" s="15" t="s">
        <v>23</v>
      </c>
    </row>
    <row r="66" spans="1:11" ht="42" customHeight="1">
      <c r="A66" s="4" t="s">
        <v>223</v>
      </c>
      <c r="B66" s="5" t="s">
        <v>224</v>
      </c>
      <c r="C66" s="5" t="s">
        <v>225</v>
      </c>
      <c r="D66" s="5" t="s">
        <v>226</v>
      </c>
      <c r="E66" s="5" t="s">
        <v>191</v>
      </c>
      <c r="F66" s="9">
        <v>34</v>
      </c>
      <c r="G66" s="9" t="s">
        <v>227</v>
      </c>
      <c r="H66" s="5" t="s">
        <v>21</v>
      </c>
      <c r="I66" s="5" t="s">
        <v>228</v>
      </c>
      <c r="J66" s="12" t="str">
        <f>HYPERLINK("https://www.boe.es/gazeta/dias/1803/04/29/pdfs/GMD-C-1803-34.pdf#page=7","Abrir facsímil")</f>
        <v>Abrir facsímil</v>
      </c>
      <c r="K66" s="15" t="s">
        <v>23</v>
      </c>
    </row>
    <row r="67" spans="1:11" ht="42" customHeight="1">
      <c r="A67" s="4" t="s">
        <v>229</v>
      </c>
      <c r="B67" s="5" t="s">
        <v>230</v>
      </c>
      <c r="C67" s="5" t="s">
        <v>26</v>
      </c>
      <c r="D67" s="5" t="s">
        <v>27</v>
      </c>
      <c r="E67" s="5" t="s">
        <v>231</v>
      </c>
      <c r="F67" s="9">
        <v>26</v>
      </c>
      <c r="G67" s="9">
        <v>281</v>
      </c>
      <c r="H67" s="5" t="s">
        <v>21</v>
      </c>
      <c r="I67" s="5" t="s">
        <v>232</v>
      </c>
      <c r="J67" s="12" t="str">
        <f>HYPERLINK("https://www.boe.es/gazeta/dias/1803/04/01/pdfs/GMD-1803-26.pdf#page=9","Abrir facsímil")</f>
        <v>Abrir facsímil</v>
      </c>
      <c r="K67" s="15" t="s">
        <v>23</v>
      </c>
    </row>
    <row r="68" spans="1:11" ht="42" customHeight="1">
      <c r="A68" s="4" t="s">
        <v>233</v>
      </c>
      <c r="B68" s="5" t="s">
        <v>234</v>
      </c>
      <c r="C68" s="5" t="s">
        <v>26</v>
      </c>
      <c r="D68" s="5" t="s">
        <v>27</v>
      </c>
      <c r="E68" s="5" t="s">
        <v>113</v>
      </c>
      <c r="F68" s="9">
        <v>93</v>
      </c>
      <c r="G68" s="9">
        <v>995</v>
      </c>
      <c r="H68" s="5" t="s">
        <v>21</v>
      </c>
      <c r="I68" s="5" t="s">
        <v>235</v>
      </c>
      <c r="J68" s="12" t="str">
        <f>HYPERLINK("https://www.boe.es/gazeta/dias/1803/11/18/pdfs/GMD-1803-93.pdf#page=7","Abrir facsímil")</f>
        <v>Abrir facsímil</v>
      </c>
      <c r="K68" s="15" t="s">
        <v>23</v>
      </c>
    </row>
    <row r="69" spans="1:11" ht="42" customHeight="1">
      <c r="A69" s="4" t="s">
        <v>236</v>
      </c>
      <c r="B69" s="5" t="s">
        <v>237</v>
      </c>
      <c r="C69" s="5" t="s">
        <v>51</v>
      </c>
      <c r="D69" s="5" t="s">
        <v>52</v>
      </c>
      <c r="E69" s="5" t="s">
        <v>71</v>
      </c>
      <c r="F69" s="9">
        <v>39</v>
      </c>
      <c r="G69" s="9">
        <v>413</v>
      </c>
      <c r="H69" s="5" t="s">
        <v>21</v>
      </c>
      <c r="I69" s="5" t="s">
        <v>238</v>
      </c>
      <c r="J69" s="12" t="str">
        <f>HYPERLINK("https://www.boe.es/gazeta/dias/1803/05/17/pdfs/GMD-1803-39.pdf#page=9","Abrir facsímil")</f>
        <v>Abrir facsímil</v>
      </c>
      <c r="K69" s="15" t="s">
        <v>23</v>
      </c>
    </row>
    <row r="70" spans="1:11" ht="42" customHeight="1">
      <c r="A70" s="4" t="s">
        <v>239</v>
      </c>
      <c r="B70" s="5" t="s">
        <v>240</v>
      </c>
      <c r="C70" s="5" t="s">
        <v>51</v>
      </c>
      <c r="D70" s="5" t="s">
        <v>52</v>
      </c>
      <c r="E70" s="5" t="s">
        <v>109</v>
      </c>
      <c r="F70" s="9">
        <v>102</v>
      </c>
      <c r="G70" s="9">
        <v>1096</v>
      </c>
      <c r="H70" s="5" t="s">
        <v>21</v>
      </c>
      <c r="I70" s="5" t="s">
        <v>241</v>
      </c>
      <c r="J70" s="12" t="str">
        <f>HYPERLINK("https://www.boe.es/gazeta/dias/1803/12/20/pdfs/GMD-1803-102.pdf#page=8","Abrir facsímil")</f>
        <v>Abrir facsímil</v>
      </c>
      <c r="K70" s="15" t="s">
        <v>23</v>
      </c>
    </row>
    <row r="71" spans="1:11" ht="42" customHeight="1">
      <c r="A71" s="4" t="s">
        <v>242</v>
      </c>
      <c r="B71" s="5" t="s">
        <v>243</v>
      </c>
      <c r="C71" s="5" t="s">
        <v>51</v>
      </c>
      <c r="D71" s="5" t="s">
        <v>52</v>
      </c>
      <c r="E71" s="5" t="s">
        <v>109</v>
      </c>
      <c r="F71" s="9">
        <v>102</v>
      </c>
      <c r="G71" s="9">
        <v>1096</v>
      </c>
      <c r="H71" s="5" t="s">
        <v>21</v>
      </c>
      <c r="I71" s="5" t="s">
        <v>244</v>
      </c>
      <c r="J71" s="12" t="str">
        <f>HYPERLINK("https://www.boe.es/gazeta/dias/1803/12/20/pdfs/GMD-1803-102.pdf#page=8","Abrir facsímil")</f>
        <v>Abrir facsímil</v>
      </c>
      <c r="K71" s="15" t="s">
        <v>23</v>
      </c>
    </row>
    <row r="72" spans="1:11" ht="42" customHeight="1">
      <c r="A72" s="4" t="s">
        <v>245</v>
      </c>
      <c r="B72" s="5" t="s">
        <v>246</v>
      </c>
      <c r="C72" s="5" t="s">
        <v>26</v>
      </c>
      <c r="D72" s="5" t="s">
        <v>27</v>
      </c>
      <c r="E72" s="5" t="s">
        <v>199</v>
      </c>
      <c r="F72" s="9">
        <v>88</v>
      </c>
      <c r="G72" s="9">
        <v>947</v>
      </c>
      <c r="H72" s="5" t="s">
        <v>21</v>
      </c>
      <c r="I72" s="5" t="s">
        <v>247</v>
      </c>
      <c r="J72" s="12" t="str">
        <f>HYPERLINK("https://www.boe.es/gazeta/dias/1803/11/01/pdfs/GMD-1803-88.pdf#page=7","Abrir facsímil")</f>
        <v>Abrir facsímil</v>
      </c>
      <c r="K72" s="15" t="s">
        <v>23</v>
      </c>
    </row>
    <row r="73" spans="1:11" ht="42" customHeight="1">
      <c r="A73" s="4" t="s">
        <v>248</v>
      </c>
      <c r="B73" s="5" t="s">
        <v>249</v>
      </c>
      <c r="C73" s="5" t="s">
        <v>26</v>
      </c>
      <c r="D73" s="5" t="s">
        <v>27</v>
      </c>
      <c r="E73" s="5" t="s">
        <v>250</v>
      </c>
      <c r="F73" s="9">
        <v>4</v>
      </c>
      <c r="G73" s="9">
        <v>35</v>
      </c>
      <c r="H73" s="5" t="s">
        <v>21</v>
      </c>
      <c r="I73" s="5" t="s">
        <v>251</v>
      </c>
      <c r="J73" s="12" t="str">
        <f>HYPERLINK("https://www.boe.es/gazeta/dias/1803/01/14/pdfs/GMD-1803-4.pdf#page=7","Abrir facsímil")</f>
        <v>Abrir facsímil</v>
      </c>
      <c r="K73" s="15" t="s">
        <v>23</v>
      </c>
    </row>
    <row r="74" spans="1:11" ht="42" customHeight="1">
      <c r="A74" s="4" t="s">
        <v>252</v>
      </c>
      <c r="B74" s="5" t="s">
        <v>252</v>
      </c>
      <c r="C74" s="5" t="s">
        <v>40</v>
      </c>
      <c r="D74" s="5" t="s">
        <v>41</v>
      </c>
      <c r="E74" s="5" t="s">
        <v>250</v>
      </c>
      <c r="F74" s="9">
        <v>4</v>
      </c>
      <c r="G74" s="9">
        <v>31</v>
      </c>
      <c r="H74" s="5" t="s">
        <v>21</v>
      </c>
      <c r="I74" s="5" t="s">
        <v>253</v>
      </c>
      <c r="J74" s="12" t="str">
        <f>HYPERLINK("https://www.boe.es/gazeta/dias/1803/01/14/pdfs/GMD-1803-4.pdf#page=3","Abrir facsímil")</f>
        <v>Abrir facsímil</v>
      </c>
      <c r="K74" s="15" t="s">
        <v>23</v>
      </c>
    </row>
    <row r="75" spans="1:11" ht="42" customHeight="1">
      <c r="A75" s="4" t="s">
        <v>252</v>
      </c>
      <c r="B75" s="5" t="s">
        <v>252</v>
      </c>
      <c r="C75" s="5" t="s">
        <v>46</v>
      </c>
      <c r="D75" s="5" t="s">
        <v>19</v>
      </c>
      <c r="E75" s="5" t="s">
        <v>75</v>
      </c>
      <c r="F75" s="9">
        <v>56</v>
      </c>
      <c r="G75" s="9">
        <v>607</v>
      </c>
      <c r="H75" s="5" t="s">
        <v>21</v>
      </c>
      <c r="I75" s="5" t="s">
        <v>254</v>
      </c>
      <c r="J75" s="12" t="str">
        <f>HYPERLINK("https://www.boe.es/gazeta/dias/1803/07/15/pdfs/GMD-1803-56.pdf#page=3","Abrir facsímil")</f>
        <v>Abrir facsímil</v>
      </c>
      <c r="K75" s="15" t="s">
        <v>23</v>
      </c>
    </row>
    <row r="76" spans="1:11" ht="42" customHeight="1">
      <c r="A76" s="4" t="s">
        <v>255</v>
      </c>
      <c r="B76" s="5" t="s">
        <v>255</v>
      </c>
      <c r="C76" s="5" t="s">
        <v>40</v>
      </c>
      <c r="D76" s="5" t="s">
        <v>41</v>
      </c>
      <c r="E76" s="5" t="s">
        <v>256</v>
      </c>
      <c r="F76" s="9">
        <v>1</v>
      </c>
      <c r="G76" s="9">
        <v>3</v>
      </c>
      <c r="H76" s="5" t="s">
        <v>21</v>
      </c>
      <c r="I76" s="5" t="s">
        <v>257</v>
      </c>
      <c r="J76" s="12" t="str">
        <f>HYPERLINK("https://www.boe.es/gazeta/dias/1803/01/04/pdfs/GMD-1803-1.pdf#page=3","Abrir facsímil")</f>
        <v>Abrir facsímil</v>
      </c>
      <c r="K76" s="15" t="s">
        <v>23</v>
      </c>
    </row>
    <row r="77" spans="1:11" ht="42" customHeight="1">
      <c r="A77" s="4" t="s">
        <v>255</v>
      </c>
      <c r="B77" s="5" t="s">
        <v>255</v>
      </c>
      <c r="C77" s="5" t="s">
        <v>51</v>
      </c>
      <c r="D77" s="5" t="s">
        <v>52</v>
      </c>
      <c r="E77" s="5" t="s">
        <v>258</v>
      </c>
      <c r="F77" s="9">
        <v>7</v>
      </c>
      <c r="G77" s="9">
        <v>63</v>
      </c>
      <c r="H77" s="5" t="s">
        <v>21</v>
      </c>
      <c r="I77" s="5" t="s">
        <v>259</v>
      </c>
      <c r="J77" s="12" t="str">
        <f>HYPERLINK("https://www.boe.es/gazeta/dias/1803/01/25/pdfs/GMD-1803-7.pdf#page=3","Abrir facsímil")</f>
        <v>Abrir facsímil</v>
      </c>
      <c r="K77" s="15" t="s">
        <v>23</v>
      </c>
    </row>
    <row r="78" spans="1:11" ht="42" customHeight="1">
      <c r="A78" s="4" t="s">
        <v>260</v>
      </c>
      <c r="B78" s="5" t="s">
        <v>260</v>
      </c>
      <c r="C78" s="5" t="s">
        <v>46</v>
      </c>
      <c r="D78" s="5" t="s">
        <v>19</v>
      </c>
      <c r="E78" s="5" t="s">
        <v>261</v>
      </c>
      <c r="F78" s="9">
        <v>70</v>
      </c>
      <c r="G78" s="9">
        <v>768</v>
      </c>
      <c r="H78" s="5" t="s">
        <v>21</v>
      </c>
      <c r="I78" s="5" t="s">
        <v>262</v>
      </c>
      <c r="J78" s="12" t="str">
        <f>HYPERLINK("https://www.boe.es/gazeta/dias/1803/09/02/pdfs/GMD-1803-70.pdf#page=8","Abrir facsímil")</f>
        <v>Abrir facsímil</v>
      </c>
      <c r="K78" s="15" t="s">
        <v>23</v>
      </c>
    </row>
    <row r="79" spans="1:11" ht="42" customHeight="1">
      <c r="A79" s="4" t="s">
        <v>260</v>
      </c>
      <c r="B79" s="5" t="s">
        <v>260</v>
      </c>
      <c r="C79" s="5" t="s">
        <v>46</v>
      </c>
      <c r="D79" s="5" t="s">
        <v>19</v>
      </c>
      <c r="E79" s="5" t="s">
        <v>263</v>
      </c>
      <c r="F79" s="9">
        <v>75</v>
      </c>
      <c r="G79" s="9">
        <v>811</v>
      </c>
      <c r="H79" s="5" t="s">
        <v>21</v>
      </c>
      <c r="I79" s="5" t="s">
        <v>264</v>
      </c>
      <c r="J79" s="12" t="str">
        <f>HYPERLINK("https://www.boe.es/gazeta/dias/1803/09/16/pdfs/GMD-1803-75.pdf#page=7","Abrir facsímil")</f>
        <v>Abrir facsímil</v>
      </c>
      <c r="K79" s="15" t="s">
        <v>23</v>
      </c>
    </row>
    <row r="80" spans="1:11" ht="42" customHeight="1">
      <c r="A80" s="4" t="s">
        <v>265</v>
      </c>
      <c r="B80" s="5" t="s">
        <v>265</v>
      </c>
      <c r="C80" s="5" t="s">
        <v>46</v>
      </c>
      <c r="D80" s="5" t="s">
        <v>19</v>
      </c>
      <c r="E80" s="5" t="s">
        <v>203</v>
      </c>
      <c r="F80" s="9">
        <v>32</v>
      </c>
      <c r="G80" s="9">
        <v>339</v>
      </c>
      <c r="H80" s="5" t="s">
        <v>21</v>
      </c>
      <c r="I80" s="5" t="s">
        <v>266</v>
      </c>
      <c r="J80" s="12" t="str">
        <f>HYPERLINK("https://www.boe.es/gazeta/dias/1803/04/22/pdfs/GMD-1803-32.pdf#page=11","Abrir facsímil")</f>
        <v>Abrir facsímil</v>
      </c>
      <c r="K80" s="15" t="s">
        <v>23</v>
      </c>
    </row>
    <row r="81" spans="1:11" ht="42" customHeight="1">
      <c r="A81" s="4" t="s">
        <v>267</v>
      </c>
      <c r="B81" s="5" t="s">
        <v>267</v>
      </c>
      <c r="C81" s="5" t="s">
        <v>80</v>
      </c>
      <c r="D81" s="5" t="s">
        <v>81</v>
      </c>
      <c r="E81" s="5" t="s">
        <v>152</v>
      </c>
      <c r="F81" s="9">
        <v>16</v>
      </c>
      <c r="G81" s="9">
        <v>168</v>
      </c>
      <c r="H81" s="5" t="s">
        <v>21</v>
      </c>
      <c r="I81" s="5" t="s">
        <v>268</v>
      </c>
      <c r="J81" s="12" t="str">
        <f>HYPERLINK("https://www.boe.es/gazeta/dias/1803/02/25/pdfs/GMD-1803-16.pdf#page=8","Abrir facsímil")</f>
        <v>Abrir facsímil</v>
      </c>
      <c r="K81" s="15" t="s">
        <v>23</v>
      </c>
    </row>
    <row r="82" spans="1:11" ht="42" customHeight="1">
      <c r="A82" s="4" t="s">
        <v>269</v>
      </c>
      <c r="B82" s="5" t="s">
        <v>269</v>
      </c>
      <c r="C82" s="5" t="s">
        <v>26</v>
      </c>
      <c r="D82" s="5" t="s">
        <v>27</v>
      </c>
      <c r="E82" s="5" t="s">
        <v>207</v>
      </c>
      <c r="F82" s="9">
        <v>27</v>
      </c>
      <c r="G82" s="9">
        <v>292</v>
      </c>
      <c r="H82" s="5" t="s">
        <v>21</v>
      </c>
      <c r="I82" s="5" t="s">
        <v>270</v>
      </c>
      <c r="J82" s="12" t="str">
        <f>HYPERLINK("https://www.boe.es/gazeta/dias/1803/04/05/pdfs/GMD-1803-27.pdf#page=8","Abrir facsímil")</f>
        <v>Abrir facsímil</v>
      </c>
      <c r="K82" s="15" t="s">
        <v>23</v>
      </c>
    </row>
    <row r="83" spans="1:11" ht="42" customHeight="1">
      <c r="A83" s="4" t="s">
        <v>271</v>
      </c>
      <c r="B83" s="5" t="s">
        <v>271</v>
      </c>
      <c r="C83" s="5" t="s">
        <v>46</v>
      </c>
      <c r="D83" s="5" t="s">
        <v>19</v>
      </c>
      <c r="E83" s="5" t="s">
        <v>272</v>
      </c>
      <c r="F83" s="9">
        <v>25</v>
      </c>
      <c r="G83" s="9">
        <v>267</v>
      </c>
      <c r="H83" s="5" t="s">
        <v>21</v>
      </c>
      <c r="I83" s="5" t="s">
        <v>273</v>
      </c>
      <c r="J83" s="12" t="str">
        <f>HYPERLINK("https://www.boe.es/gazeta/dias/1803/03/29/pdfs/GMD-1803-25.pdf#page=7","Abrir facsímil")</f>
        <v>Abrir facsímil</v>
      </c>
      <c r="K83" s="15" t="s">
        <v>23</v>
      </c>
    </row>
    <row r="84" spans="1:11" ht="42" customHeight="1">
      <c r="A84" s="4" t="s">
        <v>274</v>
      </c>
      <c r="B84" s="5" t="s">
        <v>274</v>
      </c>
      <c r="C84" s="5" t="s">
        <v>46</v>
      </c>
      <c r="D84" s="5" t="s">
        <v>19</v>
      </c>
      <c r="E84" s="5" t="s">
        <v>164</v>
      </c>
      <c r="F84" s="9">
        <v>84</v>
      </c>
      <c r="G84" s="9">
        <v>904</v>
      </c>
      <c r="H84" s="5" t="s">
        <v>21</v>
      </c>
      <c r="I84" s="5" t="s">
        <v>275</v>
      </c>
      <c r="J84" s="12" t="str">
        <f>HYPERLINK("https://www.boe.es/gazeta/dias/1803/10/18/pdfs/GMD-1803-84.pdf#page=8","Abrir facsímil")</f>
        <v>Abrir facsímil</v>
      </c>
      <c r="K84" s="15" t="s">
        <v>23</v>
      </c>
    </row>
    <row r="85" spans="1:11" ht="42" customHeight="1">
      <c r="A85" s="4" t="s">
        <v>276</v>
      </c>
      <c r="B85" s="5" t="s">
        <v>277</v>
      </c>
      <c r="C85" s="5" t="s">
        <v>26</v>
      </c>
      <c r="D85" s="5" t="s">
        <v>27</v>
      </c>
      <c r="E85" s="5" t="s">
        <v>278</v>
      </c>
      <c r="F85" s="9">
        <v>46</v>
      </c>
      <c r="G85" s="9">
        <v>486</v>
      </c>
      <c r="H85" s="5" t="s">
        <v>21</v>
      </c>
      <c r="I85" s="5" t="s">
        <v>279</v>
      </c>
      <c r="J85" s="12" t="str">
        <f>HYPERLINK("https://www.boe.es/gazeta/dias/1803/06/10/pdfs/GMD-1803-46.pdf#page=10","Abrir facsímil")</f>
        <v>Abrir facsímil</v>
      </c>
      <c r="K85" s="15" t="s">
        <v>23</v>
      </c>
    </row>
    <row r="86" spans="1:11" ht="42" customHeight="1">
      <c r="A86" s="4" t="s">
        <v>280</v>
      </c>
      <c r="B86" s="5" t="s">
        <v>281</v>
      </c>
      <c r="C86" s="5" t="s">
        <v>26</v>
      </c>
      <c r="D86" s="5" t="s">
        <v>27</v>
      </c>
      <c r="E86" s="5" t="s">
        <v>128</v>
      </c>
      <c r="F86" s="9">
        <v>80</v>
      </c>
      <c r="G86" s="9">
        <v>864</v>
      </c>
      <c r="H86" s="5" t="s">
        <v>21</v>
      </c>
      <c r="I86" s="5" t="s">
        <v>282</v>
      </c>
      <c r="J86" s="12" t="str">
        <f>HYPERLINK("https://www.boe.es/gazeta/dias/1803/10/04/pdfs/GMD-1803-80.pdf#page=8","Abrir facsímil")</f>
        <v>Abrir facsímil</v>
      </c>
      <c r="K86" s="15" t="s">
        <v>23</v>
      </c>
    </row>
    <row r="87" spans="1:11" ht="42" customHeight="1">
      <c r="A87" s="4" t="s">
        <v>283</v>
      </c>
      <c r="B87" s="5" t="s">
        <v>284</v>
      </c>
      <c r="C87" s="5" t="s">
        <v>51</v>
      </c>
      <c r="D87" s="5" t="s">
        <v>52</v>
      </c>
      <c r="E87" s="5" t="s">
        <v>285</v>
      </c>
      <c r="F87" s="9">
        <v>5</v>
      </c>
      <c r="G87" s="9">
        <v>46</v>
      </c>
      <c r="H87" s="5" t="s">
        <v>21</v>
      </c>
      <c r="I87" s="5" t="s">
        <v>286</v>
      </c>
      <c r="J87" s="12" t="str">
        <f>HYPERLINK("https://www.boe.es/gazeta/dias/1803/01/18/pdfs/GMD-1803-5.pdf#page=10","Abrir facsímil")</f>
        <v>Abrir facsímil</v>
      </c>
      <c r="K87" s="15" t="s">
        <v>23</v>
      </c>
    </row>
    <row r="88" spans="1:11" ht="42" customHeight="1">
      <c r="A88" s="4" t="s">
        <v>287</v>
      </c>
      <c r="B88" s="5" t="s">
        <v>288</v>
      </c>
      <c r="C88" s="5" t="s">
        <v>80</v>
      </c>
      <c r="D88" s="5" t="s">
        <v>81</v>
      </c>
      <c r="E88" s="5" t="s">
        <v>289</v>
      </c>
      <c r="F88" s="9">
        <v>38</v>
      </c>
      <c r="G88" s="9">
        <v>404</v>
      </c>
      <c r="H88" s="5" t="s">
        <v>21</v>
      </c>
      <c r="I88" s="5" t="s">
        <v>290</v>
      </c>
      <c r="J88" s="12" t="str">
        <f>HYPERLINK("https://www.boe.es/gazeta/dias/1803/05/13/pdfs/GMD-1803-38.pdf#page=12","Abrir facsímil")</f>
        <v>Abrir facsímil</v>
      </c>
      <c r="K88" s="15" t="s">
        <v>23</v>
      </c>
    </row>
    <row r="89" spans="1:11" ht="42" customHeight="1">
      <c r="A89" s="4" t="s">
        <v>291</v>
      </c>
      <c r="B89" s="5" t="s">
        <v>292</v>
      </c>
      <c r="C89" s="5" t="s">
        <v>18</v>
      </c>
      <c r="D89" s="5" t="s">
        <v>19</v>
      </c>
      <c r="E89" s="5" t="s">
        <v>293</v>
      </c>
      <c r="F89" s="9">
        <v>45</v>
      </c>
      <c r="G89" s="9">
        <v>474</v>
      </c>
      <c r="H89" s="5" t="s">
        <v>21</v>
      </c>
      <c r="I89" s="5" t="s">
        <v>294</v>
      </c>
      <c r="J89" s="12" t="str">
        <f>HYPERLINK("https://www.boe.es/gazeta/dias/1803/06/07/pdfs/GMD-1803-45.pdf#page=10","Abrir facsímil")</f>
        <v>Abrir facsímil</v>
      </c>
      <c r="K89" s="15" t="s">
        <v>23</v>
      </c>
    </row>
    <row r="90" spans="1:11" ht="42" customHeight="1">
      <c r="A90" s="4" t="s">
        <v>295</v>
      </c>
      <c r="B90" s="5" t="s">
        <v>296</v>
      </c>
      <c r="C90" s="5" t="s">
        <v>18</v>
      </c>
      <c r="D90" s="5" t="s">
        <v>19</v>
      </c>
      <c r="E90" s="5" t="s">
        <v>174</v>
      </c>
      <c r="F90" s="9">
        <v>21</v>
      </c>
      <c r="G90" s="9">
        <v>223</v>
      </c>
      <c r="H90" s="5" t="s">
        <v>21</v>
      </c>
      <c r="I90" s="5" t="s">
        <v>297</v>
      </c>
      <c r="J90" s="12" t="str">
        <f>HYPERLINK("https://www.boe.es/gazeta/dias/1803/03/15/pdfs/GMD-1803-21.pdf#page=7","Abrir facsímil")</f>
        <v>Abrir facsímil</v>
      </c>
      <c r="K90" s="15" t="s">
        <v>23</v>
      </c>
    </row>
    <row r="91" spans="1:11" ht="42" customHeight="1">
      <c r="A91" s="4" t="s">
        <v>298</v>
      </c>
      <c r="B91" s="5" t="s">
        <v>299</v>
      </c>
      <c r="C91" s="5" t="s">
        <v>26</v>
      </c>
      <c r="D91" s="5" t="s">
        <v>27</v>
      </c>
      <c r="E91" s="5" t="s">
        <v>300</v>
      </c>
      <c r="F91" s="9">
        <v>96</v>
      </c>
      <c r="G91" s="9">
        <v>1035</v>
      </c>
      <c r="H91" s="5" t="s">
        <v>21</v>
      </c>
      <c r="I91" s="5" t="s">
        <v>301</v>
      </c>
      <c r="J91" s="12" t="str">
        <f>HYPERLINK("https://www.boe.es/gazeta/dias/1803/11/29/pdfs/GMD-1803-96.pdf#page=11","Abrir facsímil")</f>
        <v>Abrir facsímil</v>
      </c>
      <c r="K91" s="15" t="s">
        <v>23</v>
      </c>
    </row>
    <row r="92" spans="1:11" ht="42" customHeight="1">
      <c r="A92" s="4" t="s">
        <v>302</v>
      </c>
      <c r="B92" s="5" t="s">
        <v>302</v>
      </c>
      <c r="C92" s="5" t="s">
        <v>26</v>
      </c>
      <c r="D92" s="5" t="s">
        <v>27</v>
      </c>
      <c r="E92" s="5" t="s">
        <v>303</v>
      </c>
      <c r="F92" s="9">
        <v>8</v>
      </c>
      <c r="G92" s="9">
        <v>80</v>
      </c>
      <c r="H92" s="5" t="s">
        <v>21</v>
      </c>
      <c r="I92" s="5" t="s">
        <v>304</v>
      </c>
      <c r="J92" s="12" t="str">
        <f>HYPERLINK("https://www.boe.es/gazeta/dias/1803/01/28/pdfs/GMD-1803-8.pdf#page=8","Abrir facsímil")</f>
        <v>Abrir facsímil</v>
      </c>
      <c r="K92" s="15" t="s">
        <v>23</v>
      </c>
    </row>
    <row r="93" spans="1:11" ht="42" customHeight="1">
      <c r="A93" s="4" t="s">
        <v>305</v>
      </c>
      <c r="B93" s="5" t="s">
        <v>305</v>
      </c>
      <c r="C93" s="5" t="s">
        <v>26</v>
      </c>
      <c r="D93" s="5" t="s">
        <v>27</v>
      </c>
      <c r="E93" s="5" t="s">
        <v>293</v>
      </c>
      <c r="F93" s="9">
        <v>45</v>
      </c>
      <c r="G93" s="9">
        <v>471</v>
      </c>
      <c r="H93" s="5" t="s">
        <v>21</v>
      </c>
      <c r="I93" s="5" t="s">
        <v>306</v>
      </c>
      <c r="J93" s="12" t="str">
        <f>HYPERLINK("https://www.boe.es/gazeta/dias/1803/06/07/pdfs/GMD-1803-45.pdf#page=7","Abrir facsímil")</f>
        <v>Abrir facsímil</v>
      </c>
      <c r="K93" s="15" t="s">
        <v>23</v>
      </c>
    </row>
    <row r="94" spans="1:11" ht="42" customHeight="1">
      <c r="A94" s="4" t="s">
        <v>307</v>
      </c>
      <c r="B94" s="5" t="s">
        <v>308</v>
      </c>
      <c r="C94" s="5" t="s">
        <v>51</v>
      </c>
      <c r="D94" s="5" t="s">
        <v>52</v>
      </c>
      <c r="E94" s="5" t="s">
        <v>309</v>
      </c>
      <c r="F94" s="9">
        <v>37</v>
      </c>
      <c r="G94" s="9">
        <v>381</v>
      </c>
      <c r="H94" s="5" t="s">
        <v>21</v>
      </c>
      <c r="I94" s="5" t="s">
        <v>310</v>
      </c>
      <c r="J94" s="12" t="str">
        <f>HYPERLINK("https://www.boe.es/gazeta/dias/1803/05/10/pdfs/GMD-1803-37.pdf#page=5","Abrir facsímil")</f>
        <v>Abrir facsímil</v>
      </c>
      <c r="K94" s="15" t="s">
        <v>23</v>
      </c>
    </row>
    <row r="95" spans="1:11" ht="42" customHeight="1">
      <c r="A95" s="4" t="s">
        <v>311</v>
      </c>
      <c r="B95" s="5" t="s">
        <v>312</v>
      </c>
      <c r="C95" s="5" t="s">
        <v>26</v>
      </c>
      <c r="D95" s="5" t="s">
        <v>27</v>
      </c>
      <c r="E95" s="5" t="s">
        <v>313</v>
      </c>
      <c r="F95" s="9">
        <v>14</v>
      </c>
      <c r="G95" s="9">
        <v>143</v>
      </c>
      <c r="H95" s="5" t="s">
        <v>21</v>
      </c>
      <c r="I95" s="5" t="s">
        <v>314</v>
      </c>
      <c r="J95" s="12" t="str">
        <f>HYPERLINK("https://www.boe.es/gazeta/dias/1803/02/18/pdfs/GMD-1803-14.pdf#page=7","Abrir facsímil")</f>
        <v>Abrir facsímil</v>
      </c>
      <c r="K95" s="15" t="s">
        <v>23</v>
      </c>
    </row>
    <row r="96" spans="1:11" ht="42" customHeight="1">
      <c r="A96" s="4" t="s">
        <v>315</v>
      </c>
      <c r="B96" s="5" t="s">
        <v>316</v>
      </c>
      <c r="C96" s="5" t="s">
        <v>51</v>
      </c>
      <c r="D96" s="5" t="s">
        <v>52</v>
      </c>
      <c r="E96" s="5" t="s">
        <v>317</v>
      </c>
      <c r="F96" s="9">
        <v>12</v>
      </c>
      <c r="G96" s="9">
        <v>122</v>
      </c>
      <c r="H96" s="5" t="s">
        <v>21</v>
      </c>
      <c r="I96" s="5" t="s">
        <v>318</v>
      </c>
      <c r="J96" s="12" t="str">
        <f>HYPERLINK("https://www.boe.es/gazeta/dias/1803/02/11/pdfs/GMD-1803-12.pdf#page=10","Abrir facsímil")</f>
        <v>Abrir facsímil</v>
      </c>
      <c r="K96" s="15" t="s">
        <v>23</v>
      </c>
    </row>
    <row r="97" spans="1:11" ht="42" customHeight="1">
      <c r="A97" s="4" t="s">
        <v>319</v>
      </c>
      <c r="B97" s="5" t="s">
        <v>320</v>
      </c>
      <c r="C97" s="5" t="s">
        <v>51</v>
      </c>
      <c r="D97" s="5" t="s">
        <v>52</v>
      </c>
      <c r="E97" s="5" t="s">
        <v>321</v>
      </c>
      <c r="F97" s="9">
        <v>94</v>
      </c>
      <c r="G97" s="9">
        <v>1012</v>
      </c>
      <c r="H97" s="5" t="s">
        <v>21</v>
      </c>
      <c r="I97" s="5" t="s">
        <v>322</v>
      </c>
      <c r="J97" s="12" t="str">
        <f>HYPERLINK("https://www.boe.es/gazeta/dias/1803/11/22/pdfs/GMD-1803-94.pdf#page=12","Abrir facsímil")</f>
        <v>Abrir facsímil</v>
      </c>
      <c r="K97" s="15" t="s">
        <v>23</v>
      </c>
    </row>
    <row r="98" spans="1:11" ht="42" customHeight="1">
      <c r="A98" s="4" t="s">
        <v>323</v>
      </c>
      <c r="B98" s="5" t="s">
        <v>324</v>
      </c>
      <c r="C98" s="5" t="s">
        <v>51</v>
      </c>
      <c r="D98" s="5" t="s">
        <v>52</v>
      </c>
      <c r="E98" s="5" t="s">
        <v>303</v>
      </c>
      <c r="F98" s="9">
        <v>8</v>
      </c>
      <c r="G98" s="9">
        <v>79</v>
      </c>
      <c r="H98" s="5" t="s">
        <v>21</v>
      </c>
      <c r="I98" s="5" t="s">
        <v>325</v>
      </c>
      <c r="J98" s="12" t="str">
        <f>HYPERLINK("https://www.boe.es/gazeta/dias/1803/01/28/pdfs/GMD-1803-8.pdf#page=7","Abrir facsímil")</f>
        <v>Abrir facsímil</v>
      </c>
      <c r="K98" s="15" t="s">
        <v>23</v>
      </c>
    </row>
    <row r="99" spans="1:11" ht="42" customHeight="1">
      <c r="A99" s="4" t="s">
        <v>326</v>
      </c>
      <c r="B99" s="5" t="s">
        <v>327</v>
      </c>
      <c r="C99" s="5" t="s">
        <v>26</v>
      </c>
      <c r="D99" s="5" t="s">
        <v>27</v>
      </c>
      <c r="E99" s="5" t="s">
        <v>328</v>
      </c>
      <c r="F99" s="9">
        <v>54</v>
      </c>
      <c r="G99" s="9">
        <v>590</v>
      </c>
      <c r="H99" s="5" t="s">
        <v>21</v>
      </c>
      <c r="I99" s="5" t="s">
        <v>329</v>
      </c>
      <c r="J99" s="12" t="str">
        <f>HYPERLINK("https://www.boe.es/gazeta/dias/1803/07/08/pdfs/GMD-1803-54.pdf#page=10","Abrir facsímil")</f>
        <v>Abrir facsímil</v>
      </c>
      <c r="K99" s="15" t="s">
        <v>23</v>
      </c>
    </row>
    <row r="100" spans="1:11" ht="42" customHeight="1">
      <c r="A100" s="4" t="s">
        <v>330</v>
      </c>
      <c r="B100" s="5" t="s">
        <v>331</v>
      </c>
      <c r="C100" s="5" t="s">
        <v>18</v>
      </c>
      <c r="D100" s="5" t="s">
        <v>19</v>
      </c>
      <c r="E100" s="5" t="s">
        <v>332</v>
      </c>
      <c r="F100" s="9">
        <v>11</v>
      </c>
      <c r="G100" s="9">
        <v>111</v>
      </c>
      <c r="H100" s="5" t="s">
        <v>21</v>
      </c>
      <c r="I100" s="5" t="s">
        <v>333</v>
      </c>
      <c r="J100" s="12" t="str">
        <f>HYPERLINK("https://www.boe.es/gazeta/dias/1803/02/08/pdfs/GMD-1803-11.pdf#page=7","Abrir facsímil")</f>
        <v>Abrir facsímil</v>
      </c>
      <c r="K100" s="15" t="s">
        <v>23</v>
      </c>
    </row>
    <row r="101" spans="1:11" ht="42" customHeight="1">
      <c r="A101" s="4" t="s">
        <v>334</v>
      </c>
      <c r="B101" s="5" t="s">
        <v>335</v>
      </c>
      <c r="C101" s="5" t="s">
        <v>18</v>
      </c>
      <c r="D101" s="5" t="s">
        <v>19</v>
      </c>
      <c r="E101" s="5" t="s">
        <v>336</v>
      </c>
      <c r="F101" s="9">
        <v>105</v>
      </c>
      <c r="G101" s="9">
        <v>1123</v>
      </c>
      <c r="H101" s="5" t="s">
        <v>21</v>
      </c>
      <c r="I101" s="5" t="s">
        <v>337</v>
      </c>
      <c r="J101" s="12" t="str">
        <f>HYPERLINK("https://www.boe.es/gazeta/dias/1803/12/30/pdfs/GMD-1803-105.pdf#page=7","Abrir facsímil")</f>
        <v>Abrir facsímil</v>
      </c>
      <c r="K101" s="15" t="s">
        <v>23</v>
      </c>
    </row>
    <row r="102" spans="1:11" ht="42" customHeight="1">
      <c r="A102" s="4" t="s">
        <v>338</v>
      </c>
      <c r="B102" s="5" t="s">
        <v>339</v>
      </c>
      <c r="C102" s="5" t="s">
        <v>51</v>
      </c>
      <c r="D102" s="5" t="s">
        <v>52</v>
      </c>
      <c r="E102" s="5" t="s">
        <v>340</v>
      </c>
      <c r="F102" s="9">
        <v>55</v>
      </c>
      <c r="G102" s="9">
        <v>602</v>
      </c>
      <c r="H102" s="5" t="s">
        <v>21</v>
      </c>
      <c r="I102" s="5" t="s">
        <v>341</v>
      </c>
      <c r="J102" s="12" t="str">
        <f>HYPERLINK("https://www.boe.es/gazeta/dias/1803/07/12/pdfs/GMD-1803-55.pdf#page=10","Abrir facsímil")</f>
        <v>Abrir facsímil</v>
      </c>
      <c r="K102" s="15" t="s">
        <v>23</v>
      </c>
    </row>
    <row r="103" spans="1:11" ht="42" customHeight="1">
      <c r="A103" s="4" t="s">
        <v>342</v>
      </c>
      <c r="B103" s="5" t="s">
        <v>343</v>
      </c>
      <c r="C103" s="5" t="s">
        <v>51</v>
      </c>
      <c r="D103" s="5" t="s">
        <v>52</v>
      </c>
      <c r="E103" s="5" t="s">
        <v>218</v>
      </c>
      <c r="F103" s="9">
        <v>19</v>
      </c>
      <c r="G103" s="9">
        <v>204</v>
      </c>
      <c r="H103" s="5" t="s">
        <v>21</v>
      </c>
      <c r="I103" s="5" t="s">
        <v>344</v>
      </c>
      <c r="J103" s="12" t="str">
        <f>HYPERLINK("https://www.boe.es/gazeta/dias/1803/03/08/pdfs/GMD-1803-19.pdf#page=12","Abrir facsímil")</f>
        <v>Abrir facsímil</v>
      </c>
      <c r="K103" s="15" t="s">
        <v>23</v>
      </c>
    </row>
    <row r="104" spans="1:11" ht="42" customHeight="1">
      <c r="A104" s="4" t="s">
        <v>345</v>
      </c>
      <c r="B104" s="5" t="s">
        <v>346</v>
      </c>
      <c r="C104" s="5" t="s">
        <v>26</v>
      </c>
      <c r="D104" s="5" t="s">
        <v>27</v>
      </c>
      <c r="E104" s="5" t="s">
        <v>328</v>
      </c>
      <c r="F104" s="9">
        <v>54</v>
      </c>
      <c r="G104" s="9">
        <v>590</v>
      </c>
      <c r="H104" s="5" t="s">
        <v>21</v>
      </c>
      <c r="I104" s="5" t="s">
        <v>347</v>
      </c>
      <c r="J104" s="12" t="str">
        <f>HYPERLINK("https://www.boe.es/gazeta/dias/1803/07/08/pdfs/GMD-1803-54.pdf#page=10","Abrir facsímil")</f>
        <v>Abrir facsímil</v>
      </c>
      <c r="K104" s="15" t="s">
        <v>23</v>
      </c>
    </row>
    <row r="105" spans="1:11" ht="42" customHeight="1">
      <c r="A105" s="4" t="s">
        <v>348</v>
      </c>
      <c r="B105" s="5" t="s">
        <v>349</v>
      </c>
      <c r="C105" s="5" t="s">
        <v>51</v>
      </c>
      <c r="D105" s="5" t="s">
        <v>52</v>
      </c>
      <c r="E105" s="5" t="s">
        <v>303</v>
      </c>
      <c r="F105" s="9">
        <v>8</v>
      </c>
      <c r="G105" s="9">
        <v>79</v>
      </c>
      <c r="H105" s="5" t="s">
        <v>21</v>
      </c>
      <c r="I105" s="5" t="s">
        <v>350</v>
      </c>
      <c r="J105" s="12" t="str">
        <f>HYPERLINK("https://www.boe.es/gazeta/dias/1803/01/28/pdfs/GMD-1803-8.pdf#page=7","Abrir facsímil")</f>
        <v>Abrir facsímil</v>
      </c>
      <c r="K105" s="15" t="s">
        <v>23</v>
      </c>
    </row>
    <row r="106" spans="1:11" ht="42" customHeight="1">
      <c r="A106" s="4" t="s">
        <v>351</v>
      </c>
      <c r="B106" s="5" t="s">
        <v>352</v>
      </c>
      <c r="C106" s="5" t="s">
        <v>80</v>
      </c>
      <c r="D106" s="5" t="s">
        <v>81</v>
      </c>
      <c r="E106" s="5" t="s">
        <v>309</v>
      </c>
      <c r="F106" s="9">
        <v>37</v>
      </c>
      <c r="G106" s="9">
        <v>384</v>
      </c>
      <c r="H106" s="5" t="s">
        <v>21</v>
      </c>
      <c r="I106" s="5" t="s">
        <v>353</v>
      </c>
      <c r="J106" s="12" t="str">
        <f>HYPERLINK("https://www.boe.es/gazeta/dias/1803/05/10/pdfs/GMD-1803-37.pdf#page=8","Abrir facsímil")</f>
        <v>Abrir facsímil</v>
      </c>
      <c r="K106" s="15" t="s">
        <v>23</v>
      </c>
    </row>
    <row r="107" spans="1:11" ht="42" customHeight="1">
      <c r="A107" s="4" t="s">
        <v>351</v>
      </c>
      <c r="B107" s="5" t="s">
        <v>352</v>
      </c>
      <c r="C107" s="5" t="s">
        <v>80</v>
      </c>
      <c r="D107" s="5" t="s">
        <v>81</v>
      </c>
      <c r="E107" s="5" t="s">
        <v>57</v>
      </c>
      <c r="F107" s="9">
        <v>51</v>
      </c>
      <c r="G107" s="9">
        <v>556</v>
      </c>
      <c r="H107" s="5" t="s">
        <v>21</v>
      </c>
      <c r="I107" s="5" t="s">
        <v>354</v>
      </c>
      <c r="J107" s="12" t="str">
        <f>HYPERLINK("https://www.boe.es/gazeta/dias/1803/06/28/pdfs/GMD-1803-51.pdf#page=12","Abrir facsímil")</f>
        <v>Abrir facsímil</v>
      </c>
      <c r="K107" s="15" t="s">
        <v>23</v>
      </c>
    </row>
    <row r="108" spans="1:11" ht="42" customHeight="1">
      <c r="A108" s="4" t="s">
        <v>351</v>
      </c>
      <c r="B108" s="5" t="s">
        <v>352</v>
      </c>
      <c r="C108" s="5" t="s">
        <v>26</v>
      </c>
      <c r="D108" s="5" t="s">
        <v>27</v>
      </c>
      <c r="E108" s="5" t="s">
        <v>211</v>
      </c>
      <c r="F108" s="9">
        <v>71</v>
      </c>
      <c r="G108" s="9">
        <v>778</v>
      </c>
      <c r="H108" s="5" t="s">
        <v>21</v>
      </c>
      <c r="I108" s="5" t="s">
        <v>355</v>
      </c>
      <c r="J108" s="12" t="str">
        <f>HYPERLINK("https://www.boe.es/gazeta/dias/1803/09/06/pdfs/GMD-1803-71.pdf#page=10","Abrir facsímil")</f>
        <v>Abrir facsímil</v>
      </c>
      <c r="K108" s="15" t="s">
        <v>23</v>
      </c>
    </row>
    <row r="109" spans="1:11" ht="42" customHeight="1">
      <c r="A109" s="4" t="s">
        <v>356</v>
      </c>
      <c r="B109" s="5" t="s">
        <v>357</v>
      </c>
      <c r="C109" s="5" t="s">
        <v>51</v>
      </c>
      <c r="D109" s="5" t="s">
        <v>52</v>
      </c>
      <c r="E109" s="5" t="s">
        <v>77</v>
      </c>
      <c r="F109" s="9">
        <v>64</v>
      </c>
      <c r="G109" s="9">
        <v>700</v>
      </c>
      <c r="H109" s="5" t="s">
        <v>21</v>
      </c>
      <c r="I109" s="5" t="s">
        <v>358</v>
      </c>
      <c r="J109" s="12" t="str">
        <f>HYPERLINK("https://www.boe.es/gazeta/dias/1803/08/12/pdfs/GMD-1803-64.pdf#page=8","Abrir facsímil")</f>
        <v>Abrir facsímil</v>
      </c>
      <c r="K109" s="15" t="s">
        <v>23</v>
      </c>
    </row>
    <row r="110" spans="1:11" ht="42" customHeight="1">
      <c r="A110" s="4" t="s">
        <v>359</v>
      </c>
      <c r="B110" s="5" t="s">
        <v>360</v>
      </c>
      <c r="C110" s="5" t="s">
        <v>26</v>
      </c>
      <c r="D110" s="5" t="s">
        <v>27</v>
      </c>
      <c r="E110" s="5" t="s">
        <v>361</v>
      </c>
      <c r="F110" s="9">
        <v>62</v>
      </c>
      <c r="G110" s="9">
        <v>676</v>
      </c>
      <c r="H110" s="5" t="s">
        <v>21</v>
      </c>
      <c r="I110" s="5" t="s">
        <v>362</v>
      </c>
      <c r="J110" s="12" t="str">
        <f>HYPERLINK("https://www.boe.es/gazeta/dias/1803/08/05/pdfs/GMD-1803-62.pdf#page=8","Abrir facsímil")</f>
        <v>Abrir facsímil</v>
      </c>
      <c r="K110" s="15" t="s">
        <v>23</v>
      </c>
    </row>
    <row r="111" spans="1:11" ht="42" customHeight="1">
      <c r="A111" s="4" t="s">
        <v>363</v>
      </c>
      <c r="B111" s="5" t="s">
        <v>364</v>
      </c>
      <c r="C111" s="5" t="s">
        <v>26</v>
      </c>
      <c r="D111" s="5" t="s">
        <v>27</v>
      </c>
      <c r="E111" s="5" t="s">
        <v>102</v>
      </c>
      <c r="F111" s="9">
        <v>31</v>
      </c>
      <c r="G111" s="9">
        <v>326</v>
      </c>
      <c r="H111" s="5" t="s">
        <v>21</v>
      </c>
      <c r="I111" s="5" t="s">
        <v>365</v>
      </c>
      <c r="J111" s="12" t="str">
        <f>HYPERLINK("https://www.boe.es/gazeta/dias/1803/04/19/pdfs/GMD-1803-31.pdf#page=6","Abrir facsímil")</f>
        <v>Abrir facsímil</v>
      </c>
      <c r="K111" s="15" t="s">
        <v>23</v>
      </c>
    </row>
    <row r="112" spans="1:11" ht="42" customHeight="1">
      <c r="A112" s="4" t="s">
        <v>366</v>
      </c>
      <c r="B112" s="5" t="s">
        <v>367</v>
      </c>
      <c r="C112" s="5" t="s">
        <v>51</v>
      </c>
      <c r="D112" s="5" t="s">
        <v>52</v>
      </c>
      <c r="E112" s="5" t="s">
        <v>189</v>
      </c>
      <c r="F112" s="9">
        <v>9</v>
      </c>
      <c r="G112" s="9">
        <v>92</v>
      </c>
      <c r="H112" s="5" t="s">
        <v>21</v>
      </c>
      <c r="I112" s="5" t="s">
        <v>368</v>
      </c>
      <c r="J112" s="12" t="str">
        <f>HYPERLINK("https://www.boe.es/gazeta/dias/1803/02/01/pdfs/GMD-1803-9.pdf#page=8","Abrir facsímil")</f>
        <v>Abrir facsímil</v>
      </c>
      <c r="K112" s="15" t="s">
        <v>23</v>
      </c>
    </row>
    <row r="113" spans="1:11" ht="42" customHeight="1">
      <c r="A113" s="4" t="s">
        <v>366</v>
      </c>
      <c r="B113" s="5" t="s">
        <v>367</v>
      </c>
      <c r="C113" s="5" t="s">
        <v>80</v>
      </c>
      <c r="D113" s="5" t="s">
        <v>81</v>
      </c>
      <c r="E113" s="5" t="s">
        <v>369</v>
      </c>
      <c r="F113" s="9">
        <v>100</v>
      </c>
      <c r="G113" s="9">
        <v>1075</v>
      </c>
      <c r="H113" s="5" t="s">
        <v>21</v>
      </c>
      <c r="I113" s="5" t="s">
        <v>370</v>
      </c>
      <c r="J113" s="12" t="str">
        <f>HYPERLINK("https://www.boe.es/gazeta/dias/1803/12/13/pdfs/GMD-1803-100.pdf#page=11","Abrir facsímil")</f>
        <v>Abrir facsímil</v>
      </c>
      <c r="K113" s="15" t="s">
        <v>23</v>
      </c>
    </row>
    <row r="114" spans="1:11" ht="42" customHeight="1">
      <c r="A114" s="4" t="s">
        <v>371</v>
      </c>
      <c r="B114" s="5" t="s">
        <v>372</v>
      </c>
      <c r="C114" s="5" t="s">
        <v>26</v>
      </c>
      <c r="D114" s="5" t="s">
        <v>27</v>
      </c>
      <c r="E114" s="5" t="s">
        <v>373</v>
      </c>
      <c r="F114" s="9">
        <v>77</v>
      </c>
      <c r="G114" s="9">
        <v>834</v>
      </c>
      <c r="H114" s="5" t="s">
        <v>21</v>
      </c>
      <c r="I114" s="5" t="s">
        <v>374</v>
      </c>
      <c r="J114" s="12" t="str">
        <f>HYPERLINK("https://www.boe.es/gazeta/dias/1803/09/23/pdfs/GMD-1803-77.pdf#page=10","Abrir facsímil")</f>
        <v>Abrir facsímil</v>
      </c>
      <c r="K114" s="15" t="s">
        <v>23</v>
      </c>
    </row>
    <row r="115" spans="1:11" ht="42" customHeight="1">
      <c r="A115" s="4" t="s">
        <v>371</v>
      </c>
      <c r="B115" s="5" t="s">
        <v>372</v>
      </c>
      <c r="C115" s="5" t="s">
        <v>26</v>
      </c>
      <c r="D115" s="5" t="s">
        <v>27</v>
      </c>
      <c r="E115" s="5" t="s">
        <v>300</v>
      </c>
      <c r="F115" s="9">
        <v>96</v>
      </c>
      <c r="G115" s="9">
        <v>1034</v>
      </c>
      <c r="H115" s="5" t="s">
        <v>21</v>
      </c>
      <c r="I115" s="5" t="s">
        <v>375</v>
      </c>
      <c r="J115" s="12" t="str">
        <f>HYPERLINK("https://www.boe.es/gazeta/dias/1803/11/29/pdfs/GMD-1803-96.pdf#page=10","Abrir facsímil")</f>
        <v>Abrir facsímil</v>
      </c>
      <c r="K115" s="15" t="s">
        <v>23</v>
      </c>
    </row>
    <row r="116" spans="1:11" ht="42" customHeight="1">
      <c r="A116" s="4" t="s">
        <v>376</v>
      </c>
      <c r="B116" s="5" t="s">
        <v>376</v>
      </c>
      <c r="C116" s="5" t="s">
        <v>51</v>
      </c>
      <c r="D116" s="5" t="s">
        <v>52</v>
      </c>
      <c r="E116" s="5" t="s">
        <v>64</v>
      </c>
      <c r="F116" s="9">
        <v>65</v>
      </c>
      <c r="G116" s="9">
        <v>709</v>
      </c>
      <c r="H116" s="5" t="s">
        <v>21</v>
      </c>
      <c r="I116" s="5" t="s">
        <v>377</v>
      </c>
      <c r="J116" s="12" t="str">
        <f>HYPERLINK("https://www.boe.es/gazeta/dias/1803/08/16/pdfs/GMD-1803-65.pdf#page=9","Abrir facsímil")</f>
        <v>Abrir facsímil</v>
      </c>
      <c r="K116" s="15" t="s">
        <v>23</v>
      </c>
    </row>
    <row r="117" spans="1:11" ht="42" customHeight="1">
      <c r="A117" s="4" t="s">
        <v>378</v>
      </c>
      <c r="B117" s="5" t="s">
        <v>379</v>
      </c>
      <c r="C117" s="5" t="s">
        <v>26</v>
      </c>
      <c r="D117" s="5" t="s">
        <v>27</v>
      </c>
      <c r="E117" s="5" t="s">
        <v>328</v>
      </c>
      <c r="F117" s="9">
        <v>54</v>
      </c>
      <c r="G117" s="9">
        <v>590</v>
      </c>
      <c r="H117" s="5" t="s">
        <v>21</v>
      </c>
      <c r="I117" s="5" t="s">
        <v>380</v>
      </c>
      <c r="J117" s="12" t="str">
        <f>HYPERLINK("https://www.boe.es/gazeta/dias/1803/07/08/pdfs/GMD-1803-54.pdf#page=10","Abrir facsímil")</f>
        <v>Abrir facsímil</v>
      </c>
      <c r="K117" s="15" t="s">
        <v>23</v>
      </c>
    </row>
    <row r="118" spans="1:11" ht="42" customHeight="1">
      <c r="A118" s="4" t="s">
        <v>381</v>
      </c>
      <c r="B118" s="5" t="s">
        <v>382</v>
      </c>
      <c r="C118" s="5" t="s">
        <v>51</v>
      </c>
      <c r="D118" s="5" t="s">
        <v>52</v>
      </c>
      <c r="E118" s="5" t="s">
        <v>20</v>
      </c>
      <c r="F118" s="9">
        <v>97</v>
      </c>
      <c r="G118" s="9">
        <v>1044</v>
      </c>
      <c r="H118" s="5" t="s">
        <v>21</v>
      </c>
      <c r="I118" s="5" t="s">
        <v>383</v>
      </c>
      <c r="J118" s="12" t="str">
        <f>HYPERLINK("https://www.boe.es/gazeta/dias/1803/12/02/pdfs/GMD-1803-97.pdf#page=8","Abrir facsímil")</f>
        <v>Abrir facsímil</v>
      </c>
      <c r="K118" s="15" t="s">
        <v>23</v>
      </c>
    </row>
    <row r="119" spans="1:11" ht="42" customHeight="1">
      <c r="A119" s="4" t="s">
        <v>384</v>
      </c>
      <c r="B119" s="5" t="s">
        <v>385</v>
      </c>
      <c r="C119" s="5" t="s">
        <v>80</v>
      </c>
      <c r="D119" s="5" t="s">
        <v>81</v>
      </c>
      <c r="E119" s="5" t="s">
        <v>309</v>
      </c>
      <c r="F119" s="9">
        <v>37</v>
      </c>
      <c r="G119" s="9">
        <v>384</v>
      </c>
      <c r="H119" s="5" t="s">
        <v>21</v>
      </c>
      <c r="I119" s="5" t="s">
        <v>386</v>
      </c>
      <c r="J119" s="12" t="str">
        <f>HYPERLINK("https://www.boe.es/gazeta/dias/1803/05/10/pdfs/GMD-1803-37.pdf#page=8","Abrir facsímil")</f>
        <v>Abrir facsímil</v>
      </c>
      <c r="K119" s="15" t="s">
        <v>23</v>
      </c>
    </row>
    <row r="120" spans="1:11" ht="42" customHeight="1">
      <c r="A120" s="4" t="s">
        <v>387</v>
      </c>
      <c r="B120" s="5" t="s">
        <v>388</v>
      </c>
      <c r="C120" s="5" t="s">
        <v>51</v>
      </c>
      <c r="D120" s="5" t="s">
        <v>52</v>
      </c>
      <c r="E120" s="5" t="s">
        <v>389</v>
      </c>
      <c r="F120" s="9">
        <v>41</v>
      </c>
      <c r="G120" s="9">
        <v>431</v>
      </c>
      <c r="H120" s="5" t="s">
        <v>21</v>
      </c>
      <c r="I120" s="5" t="s">
        <v>390</v>
      </c>
      <c r="J120" s="12" t="str">
        <f>HYPERLINK("https://www.boe.es/gazeta/dias/1803/05/24/pdfs/GMD-1803-41.pdf#page=7","Abrir facsímil")</f>
        <v>Abrir facsímil</v>
      </c>
      <c r="K120" s="15" t="s">
        <v>23</v>
      </c>
    </row>
    <row r="121" spans="1:11" ht="42" customHeight="1">
      <c r="A121" s="4" t="s">
        <v>387</v>
      </c>
      <c r="B121" s="5" t="s">
        <v>388</v>
      </c>
      <c r="C121" s="5" t="s">
        <v>18</v>
      </c>
      <c r="D121" s="5" t="s">
        <v>19</v>
      </c>
      <c r="E121" s="5" t="s">
        <v>391</v>
      </c>
      <c r="F121" s="9">
        <v>61</v>
      </c>
      <c r="G121" s="9">
        <v>668</v>
      </c>
      <c r="H121" s="5" t="s">
        <v>21</v>
      </c>
      <c r="I121" s="5" t="s">
        <v>392</v>
      </c>
      <c r="J121" s="12" t="str">
        <f>HYPERLINK("https://www.boe.es/gazeta/dias/1803/08/02/pdfs/GMD-1803-61.pdf#page=8","Abrir facsímil")</f>
        <v>Abrir facsímil</v>
      </c>
      <c r="K121" s="15" t="s">
        <v>23</v>
      </c>
    </row>
    <row r="122" spans="1:11" ht="42" customHeight="1">
      <c r="A122" s="4" t="s">
        <v>387</v>
      </c>
      <c r="B122" s="5" t="s">
        <v>388</v>
      </c>
      <c r="C122" s="5" t="s">
        <v>51</v>
      </c>
      <c r="D122" s="5" t="s">
        <v>52</v>
      </c>
      <c r="E122" s="5" t="s">
        <v>336</v>
      </c>
      <c r="F122" s="9">
        <v>105</v>
      </c>
      <c r="G122" s="9">
        <v>1123</v>
      </c>
      <c r="H122" s="5" t="s">
        <v>21</v>
      </c>
      <c r="I122" s="5" t="s">
        <v>393</v>
      </c>
      <c r="J122" s="12" t="str">
        <f>HYPERLINK("https://www.boe.es/gazeta/dias/1803/12/30/pdfs/GMD-1803-105.pdf#page=7","Abrir facsímil")</f>
        <v>Abrir facsímil</v>
      </c>
      <c r="K122" s="15" t="s">
        <v>23</v>
      </c>
    </row>
    <row r="123" spans="1:11" ht="42" customHeight="1">
      <c r="A123" s="4" t="s">
        <v>394</v>
      </c>
      <c r="B123" s="5" t="s">
        <v>394</v>
      </c>
      <c r="C123" s="5" t="s">
        <v>40</v>
      </c>
      <c r="D123" s="5" t="s">
        <v>41</v>
      </c>
      <c r="E123" s="5" t="s">
        <v>395</v>
      </c>
      <c r="F123" s="9">
        <v>13</v>
      </c>
      <c r="G123" s="9">
        <v>133</v>
      </c>
      <c r="H123" s="5" t="s">
        <v>21</v>
      </c>
      <c r="I123" s="5" t="s">
        <v>396</v>
      </c>
      <c r="J123" s="12" t="str">
        <f>HYPERLINK("https://www.boe.es/gazeta/dias/1803/02/15/pdfs/GMD-1803-13.pdf#page=9","Abrir facsímil")</f>
        <v>Abrir facsímil</v>
      </c>
      <c r="K123" s="15" t="s">
        <v>23</v>
      </c>
    </row>
    <row r="124" spans="1:11" ht="42" customHeight="1">
      <c r="A124" s="4" t="s">
        <v>397</v>
      </c>
      <c r="B124" s="5" t="s">
        <v>398</v>
      </c>
      <c r="C124" s="5" t="s">
        <v>26</v>
      </c>
      <c r="D124" s="5" t="s">
        <v>27</v>
      </c>
      <c r="E124" s="5" t="s">
        <v>399</v>
      </c>
      <c r="F124" s="9">
        <v>95</v>
      </c>
      <c r="G124" s="9">
        <v>1018</v>
      </c>
      <c r="H124" s="5" t="s">
        <v>21</v>
      </c>
      <c r="I124" s="5" t="s">
        <v>400</v>
      </c>
      <c r="J124" s="12" t="str">
        <f>HYPERLINK("https://www.boe.es/gazeta/dias/1803/11/25/pdfs/GMD-1803-95.pdf#page=6","Abrir facsímil")</f>
        <v>Abrir facsímil</v>
      </c>
      <c r="K124" s="15" t="s">
        <v>23</v>
      </c>
    </row>
    <row r="125" spans="1:11" ht="42" customHeight="1">
      <c r="A125" s="4" t="s">
        <v>401</v>
      </c>
      <c r="B125" s="5" t="s">
        <v>402</v>
      </c>
      <c r="C125" s="5" t="s">
        <v>80</v>
      </c>
      <c r="D125" s="5" t="s">
        <v>81</v>
      </c>
      <c r="E125" s="5" t="s">
        <v>403</v>
      </c>
      <c r="F125" s="9">
        <v>91</v>
      </c>
      <c r="G125" s="9">
        <v>979</v>
      </c>
      <c r="H125" s="5" t="s">
        <v>21</v>
      </c>
      <c r="I125" s="5" t="s">
        <v>404</v>
      </c>
      <c r="J125" s="12" t="str">
        <f>HYPERLINK("https://www.boe.es/gazeta/dias/1803/11/11/pdfs/GMD-1803-91.pdf#page=11","Abrir facsímil")</f>
        <v>Abrir facsímil</v>
      </c>
      <c r="K125" s="15" t="s">
        <v>23</v>
      </c>
    </row>
    <row r="126" spans="1:11" ht="42" customHeight="1">
      <c r="A126" s="4" t="s">
        <v>405</v>
      </c>
      <c r="B126" s="5" t="s">
        <v>406</v>
      </c>
      <c r="C126" s="5" t="s">
        <v>26</v>
      </c>
      <c r="D126" s="5" t="s">
        <v>27</v>
      </c>
      <c r="E126" s="5" t="s">
        <v>407</v>
      </c>
      <c r="F126" s="9">
        <v>82</v>
      </c>
      <c r="G126" s="9">
        <v>885</v>
      </c>
      <c r="H126" s="5" t="s">
        <v>21</v>
      </c>
      <c r="I126" s="5" t="s">
        <v>408</v>
      </c>
      <c r="J126" s="12" t="str">
        <f>HYPERLINK("https://www.boe.es/gazeta/dias/1803/10/11/pdfs/GMD-1803-82.pdf#page=9","Abrir facsímil")</f>
        <v>Abrir facsímil</v>
      </c>
      <c r="K126" s="15" t="s">
        <v>23</v>
      </c>
    </row>
    <row r="127" spans="1:11" ht="42" customHeight="1">
      <c r="A127" s="4" t="s">
        <v>409</v>
      </c>
      <c r="B127" s="5" t="s">
        <v>410</v>
      </c>
      <c r="C127" s="5" t="s">
        <v>51</v>
      </c>
      <c r="D127" s="5" t="s">
        <v>52</v>
      </c>
      <c r="E127" s="5" t="s">
        <v>214</v>
      </c>
      <c r="F127" s="9">
        <v>17</v>
      </c>
      <c r="G127" s="9">
        <v>180</v>
      </c>
      <c r="H127" s="5" t="s">
        <v>21</v>
      </c>
      <c r="I127" s="5" t="s">
        <v>411</v>
      </c>
      <c r="J127" s="12" t="str">
        <f>HYPERLINK("https://www.boe.es/gazeta/dias/1803/03/01/pdfs/GMD-1803-17.pdf#page=12","Abrir facsímil")</f>
        <v>Abrir facsímil</v>
      </c>
      <c r="K127" s="15" t="s">
        <v>23</v>
      </c>
    </row>
    <row r="128" spans="1:11" ht="42" customHeight="1">
      <c r="A128" s="4" t="s">
        <v>412</v>
      </c>
      <c r="B128" s="5" t="s">
        <v>413</v>
      </c>
      <c r="C128" s="5" t="s">
        <v>26</v>
      </c>
      <c r="D128" s="5" t="s">
        <v>27</v>
      </c>
      <c r="E128" s="5" t="s">
        <v>113</v>
      </c>
      <c r="F128" s="9">
        <v>93</v>
      </c>
      <c r="G128" s="9">
        <v>995</v>
      </c>
      <c r="H128" s="5" t="s">
        <v>21</v>
      </c>
      <c r="I128" s="5" t="s">
        <v>414</v>
      </c>
      <c r="J128" s="12" t="str">
        <f>HYPERLINK("https://www.boe.es/gazeta/dias/1803/11/18/pdfs/GMD-1803-93.pdf#page=7","Abrir facsímil")</f>
        <v>Abrir facsímil</v>
      </c>
      <c r="K128" s="15" t="s">
        <v>23</v>
      </c>
    </row>
    <row r="129" spans="1:11" ht="42" customHeight="1">
      <c r="A129" s="4" t="s">
        <v>415</v>
      </c>
      <c r="B129" s="5" t="s">
        <v>416</v>
      </c>
      <c r="C129" s="5" t="s">
        <v>18</v>
      </c>
      <c r="D129" s="5" t="s">
        <v>19</v>
      </c>
      <c r="E129" s="5" t="s">
        <v>417</v>
      </c>
      <c r="F129" s="9">
        <v>72</v>
      </c>
      <c r="G129" s="9">
        <v>786</v>
      </c>
      <c r="H129" s="5" t="s">
        <v>21</v>
      </c>
      <c r="I129" s="5" t="s">
        <v>418</v>
      </c>
      <c r="J129" s="12" t="str">
        <f>HYPERLINK("https://www.boe.es/gazeta/dias/1803/09/09/pdfs/GMD-1803-72.pdf#page=6","Abrir facsímil")</f>
        <v>Abrir facsímil</v>
      </c>
      <c r="K129" s="15" t="s">
        <v>23</v>
      </c>
    </row>
    <row r="130" spans="1:11" ht="42" customHeight="1">
      <c r="A130" s="4" t="s">
        <v>419</v>
      </c>
      <c r="B130" s="5" t="s">
        <v>419</v>
      </c>
      <c r="C130" s="5" t="s">
        <v>40</v>
      </c>
      <c r="D130" s="5" t="s">
        <v>41</v>
      </c>
      <c r="E130" s="5" t="s">
        <v>53</v>
      </c>
      <c r="F130" s="9">
        <v>99</v>
      </c>
      <c r="G130" s="9">
        <v>1060</v>
      </c>
      <c r="H130" s="5" t="s">
        <v>21</v>
      </c>
      <c r="I130" s="5" t="s">
        <v>420</v>
      </c>
      <c r="J130" s="12" t="str">
        <f>HYPERLINK("https://www.boe.es/gazeta/dias/1803/12/09/pdfs/GMD-1803-99.pdf#page=8","Abrir facsímil")</f>
        <v>Abrir facsímil</v>
      </c>
      <c r="K130" s="15" t="s">
        <v>23</v>
      </c>
    </row>
    <row r="131" spans="1:11" ht="42" customHeight="1">
      <c r="A131" s="4" t="s">
        <v>421</v>
      </c>
      <c r="B131" s="5" t="s">
        <v>422</v>
      </c>
      <c r="C131" s="5" t="s">
        <v>26</v>
      </c>
      <c r="D131" s="5" t="s">
        <v>27</v>
      </c>
      <c r="E131" s="5" t="s">
        <v>256</v>
      </c>
      <c r="F131" s="9">
        <v>1</v>
      </c>
      <c r="G131" s="9">
        <v>6</v>
      </c>
      <c r="H131" s="5" t="s">
        <v>21</v>
      </c>
      <c r="I131" s="5" t="s">
        <v>423</v>
      </c>
      <c r="J131" s="12" t="str">
        <f>HYPERLINK("https://www.boe.es/gazeta/dias/1803/01/04/pdfs/GMD-1803-1.pdf#page=6","Abrir facsímil")</f>
        <v>Abrir facsímil</v>
      </c>
      <c r="K131" s="15" t="s">
        <v>23</v>
      </c>
    </row>
    <row r="132" spans="1:11" ht="42" customHeight="1">
      <c r="A132" s="4" t="s">
        <v>421</v>
      </c>
      <c r="B132" s="5" t="s">
        <v>422</v>
      </c>
      <c r="C132" s="5" t="s">
        <v>26</v>
      </c>
      <c r="D132" s="5" t="s">
        <v>27</v>
      </c>
      <c r="E132" s="5" t="s">
        <v>303</v>
      </c>
      <c r="F132" s="9">
        <v>8</v>
      </c>
      <c r="G132" s="9">
        <v>77</v>
      </c>
      <c r="H132" s="5" t="s">
        <v>21</v>
      </c>
      <c r="I132" s="5" t="s">
        <v>424</v>
      </c>
      <c r="J132" s="12" t="str">
        <f>HYPERLINK("https://www.boe.es/gazeta/dias/1803/01/28/pdfs/GMD-1803-8.pdf#page=5","Abrir facsímil")</f>
        <v>Abrir facsímil</v>
      </c>
      <c r="K132" s="15" t="s">
        <v>23</v>
      </c>
    </row>
    <row r="133" spans="1:11" ht="42" customHeight="1">
      <c r="A133" s="4" t="s">
        <v>421</v>
      </c>
      <c r="B133" s="5" t="s">
        <v>422</v>
      </c>
      <c r="C133" s="5" t="s">
        <v>40</v>
      </c>
      <c r="D133" s="5" t="s">
        <v>41</v>
      </c>
      <c r="E133" s="5" t="s">
        <v>189</v>
      </c>
      <c r="F133" s="9">
        <v>9</v>
      </c>
      <c r="G133" s="9">
        <v>89</v>
      </c>
      <c r="H133" s="5" t="s">
        <v>21</v>
      </c>
      <c r="I133" s="5" t="s">
        <v>425</v>
      </c>
      <c r="J133" s="12" t="str">
        <f>HYPERLINK("https://www.boe.es/gazeta/dias/1803/02/01/pdfs/GMD-1803-9.pdf#page=5","Abrir facsímil")</f>
        <v>Abrir facsímil</v>
      </c>
      <c r="K133" s="15" t="s">
        <v>23</v>
      </c>
    </row>
    <row r="134" spans="1:11" ht="42" customHeight="1">
      <c r="A134" s="4" t="s">
        <v>426</v>
      </c>
      <c r="B134" s="5" t="s">
        <v>427</v>
      </c>
      <c r="C134" s="5" t="s">
        <v>51</v>
      </c>
      <c r="D134" s="5" t="s">
        <v>52</v>
      </c>
      <c r="E134" s="5" t="s">
        <v>61</v>
      </c>
      <c r="F134" s="9">
        <v>67</v>
      </c>
      <c r="G134" s="9">
        <v>729</v>
      </c>
      <c r="H134" s="5" t="s">
        <v>21</v>
      </c>
      <c r="I134" s="5" t="s">
        <v>428</v>
      </c>
      <c r="J134" s="12" t="str">
        <f>HYPERLINK("https://www.boe.es/gazeta/dias/1803/08/23/pdfs/GMD-1803-67.pdf#page=9","Abrir facsímil")</f>
        <v>Abrir facsímil</v>
      </c>
      <c r="K134" s="15" t="s">
        <v>23</v>
      </c>
    </row>
    <row r="135" spans="1:11" ht="42" customHeight="1">
      <c r="A135" s="4" t="s">
        <v>429</v>
      </c>
      <c r="B135" s="5" t="s">
        <v>430</v>
      </c>
      <c r="C135" s="5" t="s">
        <v>40</v>
      </c>
      <c r="D135" s="5" t="s">
        <v>41</v>
      </c>
      <c r="E135" s="5" t="s">
        <v>93</v>
      </c>
      <c r="F135" s="9">
        <v>43</v>
      </c>
      <c r="G135" s="9">
        <v>446</v>
      </c>
      <c r="H135" s="5" t="s">
        <v>21</v>
      </c>
      <c r="I135" s="5" t="s">
        <v>431</v>
      </c>
      <c r="J135" s="12" t="str">
        <f>HYPERLINK("https://www.boe.es/gazeta/dias/1803/05/31/pdfs/GMD-1803-43.pdf#page=6","Abrir facsímil")</f>
        <v>Abrir facsímil</v>
      </c>
      <c r="K135" s="15" t="s">
        <v>23</v>
      </c>
    </row>
    <row r="136" spans="1:11" ht="42" customHeight="1">
      <c r="A136" s="4" t="s">
        <v>429</v>
      </c>
      <c r="B136" s="5" t="s">
        <v>430</v>
      </c>
      <c r="C136" s="5" t="s">
        <v>40</v>
      </c>
      <c r="D136" s="5" t="s">
        <v>41</v>
      </c>
      <c r="E136" s="5" t="s">
        <v>293</v>
      </c>
      <c r="F136" s="9">
        <v>45</v>
      </c>
      <c r="G136" s="9">
        <v>472</v>
      </c>
      <c r="H136" s="5" t="s">
        <v>21</v>
      </c>
      <c r="I136" s="5" t="s">
        <v>432</v>
      </c>
      <c r="J136" s="12" t="str">
        <f>HYPERLINK("https://www.boe.es/gazeta/dias/1803/06/07/pdfs/GMD-1803-45.pdf#page=8","Abrir facsímil")</f>
        <v>Abrir facsímil</v>
      </c>
      <c r="K136" s="15" t="s">
        <v>23</v>
      </c>
    </row>
    <row r="137" spans="1:11" ht="42" customHeight="1">
      <c r="A137" s="4" t="s">
        <v>433</v>
      </c>
      <c r="B137" s="5" t="s">
        <v>433</v>
      </c>
      <c r="C137" s="5" t="s">
        <v>51</v>
      </c>
      <c r="D137" s="5" t="s">
        <v>52</v>
      </c>
      <c r="E137" s="5" t="s">
        <v>83</v>
      </c>
      <c r="F137" s="9">
        <v>28</v>
      </c>
      <c r="G137" s="9">
        <v>303</v>
      </c>
      <c r="H137" s="5" t="s">
        <v>21</v>
      </c>
      <c r="I137" s="5" t="s">
        <v>434</v>
      </c>
      <c r="J137" s="12" t="str">
        <f>HYPERLINK("https://www.boe.es/gazeta/dias/1803/04/08/pdfs/GMD-1803-28.pdf#page=7","Abrir facsímil")</f>
        <v>Abrir facsímil</v>
      </c>
      <c r="K137" s="15" t="s">
        <v>23</v>
      </c>
    </row>
    <row r="138" spans="1:11" ht="42" customHeight="1">
      <c r="A138" s="4" t="s">
        <v>435</v>
      </c>
      <c r="B138" s="5" t="s">
        <v>435</v>
      </c>
      <c r="C138" s="5" t="s">
        <v>46</v>
      </c>
      <c r="D138" s="5" t="s">
        <v>19</v>
      </c>
      <c r="E138" s="5" t="s">
        <v>85</v>
      </c>
      <c r="F138" s="9">
        <v>49</v>
      </c>
      <c r="G138" s="9">
        <v>522</v>
      </c>
      <c r="H138" s="5" t="s">
        <v>21</v>
      </c>
      <c r="I138" s="5" t="s">
        <v>436</v>
      </c>
      <c r="J138" s="12" t="str">
        <f>HYPERLINK("https://www.boe.es/gazeta/dias/1803/06/21/pdfs/GMD-1803-49.pdf#page=10","Abrir facsímil")</f>
        <v>Abrir facsímil</v>
      </c>
      <c r="K138" s="15" t="s">
        <v>23</v>
      </c>
    </row>
    <row r="139" spans="1:11" ht="42" customHeight="1">
      <c r="A139" s="4" t="s">
        <v>437</v>
      </c>
      <c r="B139" s="5" t="s">
        <v>438</v>
      </c>
      <c r="C139" s="5" t="s">
        <v>80</v>
      </c>
      <c r="D139" s="5" t="s">
        <v>81</v>
      </c>
      <c r="E139" s="5" t="s">
        <v>439</v>
      </c>
      <c r="F139" s="9">
        <v>76</v>
      </c>
      <c r="G139" s="9">
        <v>822</v>
      </c>
      <c r="H139" s="5" t="s">
        <v>21</v>
      </c>
      <c r="I139" s="5" t="s">
        <v>440</v>
      </c>
      <c r="J139" s="12" t="str">
        <f>HYPERLINK("https://www.boe.es/gazeta/dias/1803/09/20/pdfs/GMD-1803-76.pdf#page=10","Abrir facsímil")</f>
        <v>Abrir facsímil</v>
      </c>
      <c r="K139" s="15" t="s">
        <v>23</v>
      </c>
    </row>
    <row r="140" spans="1:11" ht="42" customHeight="1">
      <c r="A140" s="4" t="s">
        <v>441</v>
      </c>
      <c r="B140" s="5" t="s">
        <v>441</v>
      </c>
      <c r="C140" s="5" t="s">
        <v>26</v>
      </c>
      <c r="D140" s="5" t="s">
        <v>27</v>
      </c>
      <c r="E140" s="5" t="s">
        <v>442</v>
      </c>
      <c r="F140" s="9" t="s">
        <v>443</v>
      </c>
      <c r="G140" s="9">
        <v>793</v>
      </c>
      <c r="H140" s="5" t="s">
        <v>21</v>
      </c>
      <c r="I140" s="5" t="s">
        <v>444</v>
      </c>
      <c r="J140" s="12" t="str">
        <f>HYPERLINK("https://www.boe.es/gazeta/dias/1803/09/12/pdfs/GMD-1803-73E.pdf#page=5","Abrir facsímil")</f>
        <v>Abrir facsímil</v>
      </c>
      <c r="K140" s="15" t="s">
        <v>23</v>
      </c>
    </row>
    <row r="141" spans="1:11" ht="42" customHeight="1">
      <c r="A141" s="4" t="s">
        <v>445</v>
      </c>
      <c r="B141" s="5" t="s">
        <v>446</v>
      </c>
      <c r="C141" s="5" t="s">
        <v>51</v>
      </c>
      <c r="D141" s="5" t="s">
        <v>52</v>
      </c>
      <c r="E141" s="5" t="s">
        <v>61</v>
      </c>
      <c r="F141" s="9">
        <v>67</v>
      </c>
      <c r="G141" s="9">
        <v>729</v>
      </c>
      <c r="H141" s="5" t="s">
        <v>21</v>
      </c>
      <c r="I141" s="5" t="s">
        <v>447</v>
      </c>
      <c r="J141" s="12" t="str">
        <f>HYPERLINK("https://www.boe.es/gazeta/dias/1803/08/23/pdfs/GMD-1803-67.pdf#page=9","Abrir facsímil")</f>
        <v>Abrir facsímil</v>
      </c>
      <c r="K141" s="15" t="s">
        <v>23</v>
      </c>
    </row>
    <row r="142" spans="1:11" ht="42" customHeight="1">
      <c r="A142" s="4" t="s">
        <v>448</v>
      </c>
      <c r="B142" s="5" t="s">
        <v>449</v>
      </c>
      <c r="C142" s="5" t="s">
        <v>51</v>
      </c>
      <c r="D142" s="5" t="s">
        <v>52</v>
      </c>
      <c r="E142" s="5" t="s">
        <v>109</v>
      </c>
      <c r="F142" s="9">
        <v>102</v>
      </c>
      <c r="G142" s="9">
        <v>1098</v>
      </c>
      <c r="H142" s="5" t="s">
        <v>21</v>
      </c>
      <c r="I142" s="5" t="s">
        <v>450</v>
      </c>
      <c r="J142" s="12" t="str">
        <f>HYPERLINK("https://www.boe.es/gazeta/dias/1803/12/20/pdfs/GMD-1803-102.pdf#page=10","Abrir facsímil")</f>
        <v>Abrir facsímil</v>
      </c>
      <c r="K142" s="15" t="s">
        <v>23</v>
      </c>
    </row>
    <row r="143" spans="1:11" ht="42" customHeight="1">
      <c r="A143" s="4" t="s">
        <v>451</v>
      </c>
      <c r="B143" s="5" t="s">
        <v>451</v>
      </c>
      <c r="C143" s="5" t="s">
        <v>51</v>
      </c>
      <c r="D143" s="5" t="s">
        <v>52</v>
      </c>
      <c r="E143" s="5" t="s">
        <v>317</v>
      </c>
      <c r="F143" s="9">
        <v>12</v>
      </c>
      <c r="G143" s="9">
        <v>124</v>
      </c>
      <c r="H143" s="5" t="s">
        <v>21</v>
      </c>
      <c r="I143" s="5" t="s">
        <v>452</v>
      </c>
      <c r="J143" s="12" t="str">
        <f>HYPERLINK("https://www.boe.es/gazeta/dias/1803/02/11/pdfs/GMD-1803-12.pdf#page=12","Abrir facsímil")</f>
        <v>Abrir facsímil</v>
      </c>
      <c r="K143" s="15" t="s">
        <v>23</v>
      </c>
    </row>
    <row r="144" spans="1:11" ht="42" customHeight="1">
      <c r="A144" s="4" t="s">
        <v>453</v>
      </c>
      <c r="B144" s="5" t="s">
        <v>453</v>
      </c>
      <c r="C144" s="5" t="s">
        <v>26</v>
      </c>
      <c r="D144" s="5" t="s">
        <v>27</v>
      </c>
      <c r="E144" s="5" t="s">
        <v>128</v>
      </c>
      <c r="F144" s="9">
        <v>80</v>
      </c>
      <c r="G144" s="9">
        <v>863</v>
      </c>
      <c r="H144" s="5" t="s">
        <v>21</v>
      </c>
      <c r="I144" s="5" t="s">
        <v>454</v>
      </c>
      <c r="J144" s="12" t="str">
        <f>HYPERLINK("https://www.boe.es/gazeta/dias/1803/10/04/pdfs/GMD-1803-80.pdf#page=7","Abrir facsímil")</f>
        <v>Abrir facsímil</v>
      </c>
      <c r="K144" s="15" t="s">
        <v>23</v>
      </c>
    </row>
    <row r="145" spans="1:11" ht="42" customHeight="1">
      <c r="A145" s="4" t="s">
        <v>455</v>
      </c>
      <c r="B145" s="5" t="s">
        <v>455</v>
      </c>
      <c r="C145" s="5" t="s">
        <v>18</v>
      </c>
      <c r="D145" s="5" t="s">
        <v>19</v>
      </c>
      <c r="E145" s="5" t="s">
        <v>128</v>
      </c>
      <c r="F145" s="9">
        <v>80</v>
      </c>
      <c r="G145" s="9">
        <v>863</v>
      </c>
      <c r="H145" s="5" t="s">
        <v>21</v>
      </c>
      <c r="I145" s="5" t="s">
        <v>456</v>
      </c>
      <c r="J145" s="12" t="str">
        <f>HYPERLINK("https://www.boe.es/gazeta/dias/1803/10/04/pdfs/GMD-1803-80.pdf#page=7","Abrir facsímil")</f>
        <v>Abrir facsímil</v>
      </c>
      <c r="K145" s="15" t="s">
        <v>23</v>
      </c>
    </row>
    <row r="146" spans="1:11" ht="42" customHeight="1">
      <c r="A146" s="4" t="s">
        <v>457</v>
      </c>
      <c r="B146" s="5" t="s">
        <v>457</v>
      </c>
      <c r="C146" s="5" t="s">
        <v>18</v>
      </c>
      <c r="D146" s="5" t="s">
        <v>19</v>
      </c>
      <c r="E146" s="5" t="s">
        <v>124</v>
      </c>
      <c r="F146" s="9">
        <v>20</v>
      </c>
      <c r="G146" s="9">
        <v>209</v>
      </c>
      <c r="H146" s="5" t="s">
        <v>21</v>
      </c>
      <c r="I146" s="5" t="s">
        <v>458</v>
      </c>
      <c r="J146" s="12" t="str">
        <f>HYPERLINK("https://www.boe.es/gazeta/dias/1803/03/11/pdfs/GMD-1803-20.pdf#page=5","Abrir facsímil")</f>
        <v>Abrir facsímil</v>
      </c>
      <c r="K146" s="15" t="s">
        <v>23</v>
      </c>
    </row>
    <row r="147" spans="1:11" ht="42" customHeight="1">
      <c r="A147" s="4" t="s">
        <v>457</v>
      </c>
      <c r="B147" s="5" t="s">
        <v>457</v>
      </c>
      <c r="C147" s="5" t="s">
        <v>26</v>
      </c>
      <c r="D147" s="5" t="s">
        <v>27</v>
      </c>
      <c r="E147" s="5" t="s">
        <v>203</v>
      </c>
      <c r="F147" s="9">
        <v>32</v>
      </c>
      <c r="G147" s="9">
        <v>336</v>
      </c>
      <c r="H147" s="5" t="s">
        <v>21</v>
      </c>
      <c r="I147" s="5" t="s">
        <v>459</v>
      </c>
      <c r="J147" s="12" t="str">
        <f>HYPERLINK("https://www.boe.es/gazeta/dias/1803/04/22/pdfs/GMD-1803-32.pdf#page=8","Abrir facsímil")</f>
        <v>Abrir facsímil</v>
      </c>
      <c r="K147" s="15" t="s">
        <v>23</v>
      </c>
    </row>
    <row r="148" spans="1:11" ht="42" customHeight="1">
      <c r="A148" s="4" t="s">
        <v>460</v>
      </c>
      <c r="B148" s="5" t="s">
        <v>461</v>
      </c>
      <c r="C148" s="5" t="s">
        <v>26</v>
      </c>
      <c r="D148" s="5" t="s">
        <v>27</v>
      </c>
      <c r="E148" s="5" t="s">
        <v>395</v>
      </c>
      <c r="F148" s="9">
        <v>13</v>
      </c>
      <c r="G148" s="9">
        <v>134</v>
      </c>
      <c r="H148" s="5" t="s">
        <v>21</v>
      </c>
      <c r="I148" s="5" t="s">
        <v>462</v>
      </c>
      <c r="J148" s="12" t="str">
        <f>HYPERLINK("https://www.boe.es/gazeta/dias/1803/02/15/pdfs/GMD-1803-13.pdf#page=10","Abrir facsímil")</f>
        <v>Abrir facsímil</v>
      </c>
      <c r="K148" s="15" t="s">
        <v>23</v>
      </c>
    </row>
    <row r="149" spans="1:11" ht="42" customHeight="1">
      <c r="A149" s="4" t="s">
        <v>463</v>
      </c>
      <c r="B149" s="5" t="s">
        <v>464</v>
      </c>
      <c r="C149" s="5" t="s">
        <v>26</v>
      </c>
      <c r="D149" s="5" t="s">
        <v>27</v>
      </c>
      <c r="E149" s="5" t="s">
        <v>174</v>
      </c>
      <c r="F149" s="9">
        <v>21</v>
      </c>
      <c r="G149" s="9">
        <v>223</v>
      </c>
      <c r="H149" s="5" t="s">
        <v>21</v>
      </c>
      <c r="I149" s="5" t="s">
        <v>465</v>
      </c>
      <c r="J149" s="12" t="str">
        <f>HYPERLINK("https://www.boe.es/gazeta/dias/1803/03/15/pdfs/GMD-1803-21.pdf#page=7","Abrir facsímil")</f>
        <v>Abrir facsímil</v>
      </c>
      <c r="K149" s="15" t="s">
        <v>23</v>
      </c>
    </row>
    <row r="150" spans="1:11" ht="42" customHeight="1">
      <c r="A150" s="4" t="s">
        <v>466</v>
      </c>
      <c r="B150" s="5" t="s">
        <v>467</v>
      </c>
      <c r="C150" s="5" t="s">
        <v>26</v>
      </c>
      <c r="D150" s="5" t="s">
        <v>27</v>
      </c>
      <c r="E150" s="5" t="s">
        <v>57</v>
      </c>
      <c r="F150" s="9">
        <v>51</v>
      </c>
      <c r="G150" s="9">
        <v>553</v>
      </c>
      <c r="H150" s="5" t="s">
        <v>21</v>
      </c>
      <c r="I150" s="5" t="s">
        <v>468</v>
      </c>
      <c r="J150" s="12" t="str">
        <f>HYPERLINK("https://www.boe.es/gazeta/dias/1803/06/28/pdfs/GMD-1803-51.pdf#page=9","Abrir facsímil")</f>
        <v>Abrir facsímil</v>
      </c>
      <c r="K150" s="15" t="s">
        <v>23</v>
      </c>
    </row>
    <row r="151" spans="1:11" ht="42" customHeight="1">
      <c r="A151" s="4" t="s">
        <v>469</v>
      </c>
      <c r="B151" s="5" t="s">
        <v>470</v>
      </c>
      <c r="C151" s="5" t="s">
        <v>80</v>
      </c>
      <c r="D151" s="5" t="s">
        <v>81</v>
      </c>
      <c r="E151" s="5" t="s">
        <v>109</v>
      </c>
      <c r="F151" s="9">
        <v>102</v>
      </c>
      <c r="G151" s="9" t="s">
        <v>471</v>
      </c>
      <c r="H151" s="5" t="s">
        <v>21</v>
      </c>
      <c r="I151" s="5" t="s">
        <v>472</v>
      </c>
      <c r="J151" s="12" t="str">
        <f>HYPERLINK("https://www.boe.es/gazeta/dias/1803/12/20/pdfs/GMD-C-1803-102.pdf#page=4","Abrir facsímil")</f>
        <v>Abrir facsímil</v>
      </c>
      <c r="K151" s="15" t="s">
        <v>23</v>
      </c>
    </row>
    <row r="152" spans="1:11" ht="42" customHeight="1">
      <c r="A152" s="4" t="s">
        <v>473</v>
      </c>
      <c r="B152" s="5" t="s">
        <v>474</v>
      </c>
      <c r="C152" s="5" t="s">
        <v>26</v>
      </c>
      <c r="D152" s="5" t="s">
        <v>27</v>
      </c>
      <c r="E152" s="5" t="s">
        <v>20</v>
      </c>
      <c r="F152" s="9">
        <v>97</v>
      </c>
      <c r="G152" s="9">
        <v>1044</v>
      </c>
      <c r="H152" s="5" t="s">
        <v>21</v>
      </c>
      <c r="I152" s="5" t="s">
        <v>475</v>
      </c>
      <c r="J152" s="12" t="str">
        <f>HYPERLINK("https://www.boe.es/gazeta/dias/1803/12/02/pdfs/GMD-1803-97.pdf#page=8","Abrir facsímil")</f>
        <v>Abrir facsímil</v>
      </c>
      <c r="K152" s="15" t="s">
        <v>23</v>
      </c>
    </row>
    <row r="153" spans="1:11" ht="42" customHeight="1">
      <c r="A153" s="4" t="s">
        <v>476</v>
      </c>
      <c r="B153" s="5" t="s">
        <v>476</v>
      </c>
      <c r="C153" s="5" t="s">
        <v>18</v>
      </c>
      <c r="D153" s="5" t="s">
        <v>19</v>
      </c>
      <c r="E153" s="5" t="s">
        <v>477</v>
      </c>
      <c r="F153" s="9">
        <v>48</v>
      </c>
      <c r="G153" s="9">
        <v>512</v>
      </c>
      <c r="H153" s="5" t="s">
        <v>21</v>
      </c>
      <c r="I153" s="5" t="s">
        <v>478</v>
      </c>
      <c r="J153" s="12" t="str">
        <f>HYPERLINK("https://www.boe.es/gazeta/dias/1803/06/17/pdfs/GMD-1803-48.pdf#page=12","Abrir facsímil")</f>
        <v>Abrir facsímil</v>
      </c>
      <c r="K153" s="15" t="s">
        <v>23</v>
      </c>
    </row>
    <row r="154" spans="1:11" ht="42" customHeight="1">
      <c r="A154" s="4" t="s">
        <v>479</v>
      </c>
      <c r="B154" s="5" t="s">
        <v>479</v>
      </c>
      <c r="C154" s="5" t="s">
        <v>51</v>
      </c>
      <c r="D154" s="5" t="s">
        <v>52</v>
      </c>
      <c r="E154" s="5" t="s">
        <v>480</v>
      </c>
      <c r="F154" s="9">
        <v>87</v>
      </c>
      <c r="G154" s="9">
        <v>940</v>
      </c>
      <c r="H154" s="5" t="s">
        <v>21</v>
      </c>
      <c r="I154" s="5" t="s">
        <v>481</v>
      </c>
      <c r="J154" s="12" t="str">
        <f>HYPERLINK("https://www.boe.es/gazeta/dias/1803/10/28/pdfs/GMD-1803-87.pdf#page=8","Abrir facsímil")</f>
        <v>Abrir facsímil</v>
      </c>
      <c r="K154" s="15" t="s">
        <v>23</v>
      </c>
    </row>
    <row r="155" spans="1:11" ht="42" customHeight="1">
      <c r="A155" s="4" t="s">
        <v>482</v>
      </c>
      <c r="B155" s="5" t="s">
        <v>482</v>
      </c>
      <c r="C155" s="5" t="s">
        <v>18</v>
      </c>
      <c r="D155" s="5" t="s">
        <v>19</v>
      </c>
      <c r="E155" s="5" t="s">
        <v>477</v>
      </c>
      <c r="F155" s="9">
        <v>48</v>
      </c>
      <c r="G155" s="9">
        <v>512</v>
      </c>
      <c r="H155" s="5" t="s">
        <v>21</v>
      </c>
      <c r="I155" s="5" t="s">
        <v>483</v>
      </c>
      <c r="J155" s="12" t="str">
        <f>HYPERLINK("https://www.boe.es/gazeta/dias/1803/06/17/pdfs/GMD-1803-48.pdf#page=12","Abrir facsímil")</f>
        <v>Abrir facsímil</v>
      </c>
      <c r="K155" s="15" t="s">
        <v>23</v>
      </c>
    </row>
    <row r="156" spans="1:11" ht="42" customHeight="1">
      <c r="A156" s="4" t="s">
        <v>484</v>
      </c>
      <c r="B156" s="5" t="s">
        <v>485</v>
      </c>
      <c r="C156" s="5" t="s">
        <v>26</v>
      </c>
      <c r="D156" s="5" t="s">
        <v>27</v>
      </c>
      <c r="E156" s="5" t="s">
        <v>258</v>
      </c>
      <c r="F156" s="9">
        <v>7</v>
      </c>
      <c r="G156" s="9">
        <v>69</v>
      </c>
      <c r="H156" s="5" t="s">
        <v>21</v>
      </c>
      <c r="I156" s="5" t="s">
        <v>486</v>
      </c>
      <c r="J156" s="12" t="str">
        <f>HYPERLINK("https://www.boe.es/gazeta/dias/1803/01/25/pdfs/GMD-1803-7.pdf#page=9","Abrir facsímil")</f>
        <v>Abrir facsímil</v>
      </c>
      <c r="K156" s="15" t="s">
        <v>23</v>
      </c>
    </row>
    <row r="157" spans="1:11" ht="42" customHeight="1">
      <c r="A157" s="4" t="s">
        <v>484</v>
      </c>
      <c r="B157" s="5" t="s">
        <v>485</v>
      </c>
      <c r="C157" s="5" t="s">
        <v>40</v>
      </c>
      <c r="D157" s="5" t="s">
        <v>41</v>
      </c>
      <c r="E157" s="5" t="s">
        <v>132</v>
      </c>
      <c r="F157" s="9">
        <v>58</v>
      </c>
      <c r="G157" s="9">
        <v>638</v>
      </c>
      <c r="H157" s="5" t="s">
        <v>21</v>
      </c>
      <c r="I157" s="5" t="s">
        <v>487</v>
      </c>
      <c r="J157" s="12" t="str">
        <f>HYPERLINK("https://www.boe.es/gazeta/dias/1803/07/22/pdfs/GMD-1803-58.pdf#page=10","Abrir facsímil")</f>
        <v>Abrir facsímil</v>
      </c>
      <c r="K157" s="15" t="s">
        <v>23</v>
      </c>
    </row>
    <row r="158" spans="1:11" ht="42" customHeight="1">
      <c r="A158" s="4" t="s">
        <v>488</v>
      </c>
      <c r="B158" s="5" t="s">
        <v>488</v>
      </c>
      <c r="C158" s="5" t="s">
        <v>26</v>
      </c>
      <c r="D158" s="5" t="s">
        <v>27</v>
      </c>
      <c r="E158" s="5" t="s">
        <v>57</v>
      </c>
      <c r="F158" s="9">
        <v>51</v>
      </c>
      <c r="G158" s="9">
        <v>553</v>
      </c>
      <c r="H158" s="5" t="s">
        <v>21</v>
      </c>
      <c r="I158" s="5" t="s">
        <v>489</v>
      </c>
      <c r="J158" s="12" t="str">
        <f>HYPERLINK("https://www.boe.es/gazeta/dias/1803/06/28/pdfs/GMD-1803-51.pdf#page=9","Abrir facsímil")</f>
        <v>Abrir facsímil</v>
      </c>
      <c r="K158" s="15" t="s">
        <v>23</v>
      </c>
    </row>
    <row r="159" spans="1:11" ht="42" customHeight="1">
      <c r="A159" s="4" t="s">
        <v>490</v>
      </c>
      <c r="B159" s="5" t="s">
        <v>490</v>
      </c>
      <c r="C159" s="5" t="s">
        <v>18</v>
      </c>
      <c r="D159" s="5" t="s">
        <v>19</v>
      </c>
      <c r="E159" s="5" t="s">
        <v>124</v>
      </c>
      <c r="F159" s="9">
        <v>20</v>
      </c>
      <c r="G159" s="9">
        <v>210</v>
      </c>
      <c r="H159" s="5" t="s">
        <v>21</v>
      </c>
      <c r="I159" s="5" t="s">
        <v>491</v>
      </c>
      <c r="J159" s="12" t="str">
        <f>HYPERLINK("https://www.boe.es/gazeta/dias/1803/03/11/pdfs/GMD-1803-20.pdf#page=6","Abrir facsímil")</f>
        <v>Abrir facsímil</v>
      </c>
      <c r="K159" s="15" t="s">
        <v>23</v>
      </c>
    </row>
    <row r="160" spans="1:11" ht="42" customHeight="1">
      <c r="A160" s="4" t="s">
        <v>492</v>
      </c>
      <c r="B160" s="5" t="s">
        <v>492</v>
      </c>
      <c r="C160" s="5" t="s">
        <v>26</v>
      </c>
      <c r="D160" s="5" t="s">
        <v>27</v>
      </c>
      <c r="E160" s="5" t="s">
        <v>493</v>
      </c>
      <c r="F160" s="9">
        <v>104</v>
      </c>
      <c r="G160" s="9">
        <v>1115</v>
      </c>
      <c r="H160" s="5" t="s">
        <v>21</v>
      </c>
      <c r="I160" s="5" t="s">
        <v>494</v>
      </c>
      <c r="J160" s="12" t="str">
        <f>HYPERLINK("https://www.boe.es/gazeta/dias/1803/12/27/pdfs/GMD-1803-104.pdf#page=7","Abrir facsímil")</f>
        <v>Abrir facsímil</v>
      </c>
      <c r="K160" s="15" t="s">
        <v>23</v>
      </c>
    </row>
    <row r="161" spans="1:11" ht="42" customHeight="1">
      <c r="A161" s="4" t="s">
        <v>495</v>
      </c>
      <c r="B161" s="5" t="s">
        <v>495</v>
      </c>
      <c r="C161" s="5" t="s">
        <v>26</v>
      </c>
      <c r="D161" s="5" t="s">
        <v>27</v>
      </c>
      <c r="E161" s="5" t="s">
        <v>496</v>
      </c>
      <c r="F161" s="9">
        <v>90</v>
      </c>
      <c r="G161" s="9">
        <v>966</v>
      </c>
      <c r="H161" s="5" t="s">
        <v>21</v>
      </c>
      <c r="I161" s="5" t="s">
        <v>497</v>
      </c>
      <c r="J161" s="12" t="str">
        <f>HYPERLINK("https://www.boe.es/gazeta/dias/1803/11/08/pdfs/GMD-1803-90.pdf#page=6","Abrir facsímil")</f>
        <v>Abrir facsímil</v>
      </c>
      <c r="K161" s="15" t="s">
        <v>23</v>
      </c>
    </row>
    <row r="162" spans="1:11" ht="42" customHeight="1">
      <c r="A162" s="4" t="s">
        <v>498</v>
      </c>
      <c r="B162" s="5" t="s">
        <v>498</v>
      </c>
      <c r="C162" s="5" t="s">
        <v>26</v>
      </c>
      <c r="D162" s="5" t="s">
        <v>27</v>
      </c>
      <c r="E162" s="5" t="s">
        <v>272</v>
      </c>
      <c r="F162" s="9">
        <v>25</v>
      </c>
      <c r="G162" s="9">
        <v>262</v>
      </c>
      <c r="H162" s="5" t="s">
        <v>21</v>
      </c>
      <c r="I162" s="5" t="s">
        <v>499</v>
      </c>
      <c r="J162" s="12" t="str">
        <f>HYPERLINK("https://www.boe.es/gazeta/dias/1803/03/29/pdfs/GMD-1803-25.pdf#page=2","Abrir facsímil")</f>
        <v>Abrir facsímil</v>
      </c>
      <c r="K162" s="15" t="s">
        <v>23</v>
      </c>
    </row>
    <row r="163" spans="1:11" ht="42" customHeight="1">
      <c r="A163" s="4" t="s">
        <v>500</v>
      </c>
      <c r="B163" s="5" t="s">
        <v>500</v>
      </c>
      <c r="C163" s="5" t="s">
        <v>26</v>
      </c>
      <c r="D163" s="5" t="s">
        <v>27</v>
      </c>
      <c r="E163" s="5" t="s">
        <v>501</v>
      </c>
      <c r="F163" s="9">
        <v>22</v>
      </c>
      <c r="G163" s="9">
        <v>237</v>
      </c>
      <c r="H163" s="5" t="s">
        <v>21</v>
      </c>
      <c r="I163" s="5" t="s">
        <v>502</v>
      </c>
      <c r="J163" s="12" t="str">
        <f>HYPERLINK("https://www.boe.es/gazeta/dias/1803/03/18/pdfs/GMD-1803-22.pdf#page=9","Abrir facsímil")</f>
        <v>Abrir facsímil</v>
      </c>
      <c r="K163" s="15" t="s">
        <v>23</v>
      </c>
    </row>
    <row r="164" spans="1:11" ht="42" customHeight="1">
      <c r="A164" s="4" t="s">
        <v>503</v>
      </c>
      <c r="B164" s="5" t="s">
        <v>503</v>
      </c>
      <c r="C164" s="5" t="s">
        <v>80</v>
      </c>
      <c r="D164" s="5" t="s">
        <v>81</v>
      </c>
      <c r="E164" s="5" t="s">
        <v>152</v>
      </c>
      <c r="F164" s="9">
        <v>16</v>
      </c>
      <c r="G164" s="9">
        <v>167</v>
      </c>
      <c r="H164" s="5" t="s">
        <v>21</v>
      </c>
      <c r="I164" s="5" t="s">
        <v>504</v>
      </c>
      <c r="J164" s="12" t="str">
        <f>HYPERLINK("https://www.boe.es/gazeta/dias/1803/02/25/pdfs/GMD-1803-16.pdf#page=7","Abrir facsímil")</f>
        <v>Abrir facsímil</v>
      </c>
      <c r="K164" s="15" t="s">
        <v>23</v>
      </c>
    </row>
    <row r="165" spans="1:11" ht="42" customHeight="1">
      <c r="A165" s="4" t="s">
        <v>503</v>
      </c>
      <c r="B165" s="5" t="s">
        <v>503</v>
      </c>
      <c r="C165" s="5" t="s">
        <v>51</v>
      </c>
      <c r="D165" s="5" t="s">
        <v>52</v>
      </c>
      <c r="E165" s="5" t="s">
        <v>152</v>
      </c>
      <c r="F165" s="9">
        <v>16</v>
      </c>
      <c r="G165" s="9">
        <v>168</v>
      </c>
      <c r="H165" s="5" t="s">
        <v>21</v>
      </c>
      <c r="I165" s="5" t="s">
        <v>505</v>
      </c>
      <c r="J165" s="12" t="str">
        <f>HYPERLINK("https://www.boe.es/gazeta/dias/1803/02/25/pdfs/GMD-1803-16.pdf#page=8","Abrir facsímil")</f>
        <v>Abrir facsímil</v>
      </c>
      <c r="K165" s="15" t="s">
        <v>23</v>
      </c>
    </row>
    <row r="166" spans="1:11" ht="42" customHeight="1">
      <c r="A166" s="4" t="s">
        <v>506</v>
      </c>
      <c r="B166" s="5" t="s">
        <v>507</v>
      </c>
      <c r="C166" s="5" t="s">
        <v>40</v>
      </c>
      <c r="D166" s="5" t="s">
        <v>41</v>
      </c>
      <c r="E166" s="5" t="s">
        <v>250</v>
      </c>
      <c r="F166" s="9">
        <v>4</v>
      </c>
      <c r="G166" s="9">
        <v>30</v>
      </c>
      <c r="H166" s="5" t="s">
        <v>21</v>
      </c>
      <c r="I166" s="5" t="s">
        <v>508</v>
      </c>
      <c r="J166" s="12" t="str">
        <f>HYPERLINK("https://www.boe.es/gazeta/dias/1803/01/14/pdfs/GMD-1803-4.pdf#page=2","Abrir facsímil")</f>
        <v>Abrir facsímil</v>
      </c>
      <c r="K166" s="15" t="s">
        <v>23</v>
      </c>
    </row>
    <row r="167" spans="1:11" ht="42" customHeight="1">
      <c r="A167" s="4" t="s">
        <v>506</v>
      </c>
      <c r="B167" s="5" t="s">
        <v>507</v>
      </c>
      <c r="C167" s="5" t="s">
        <v>26</v>
      </c>
      <c r="D167" s="5" t="s">
        <v>27</v>
      </c>
      <c r="E167" s="5" t="s">
        <v>509</v>
      </c>
      <c r="F167" s="9">
        <v>6</v>
      </c>
      <c r="G167" s="9">
        <v>50</v>
      </c>
      <c r="H167" s="5" t="s">
        <v>21</v>
      </c>
      <c r="I167" s="5" t="s">
        <v>510</v>
      </c>
      <c r="J167" s="12" t="str">
        <f>HYPERLINK("https://www.boe.es/gazeta/dias/1803/01/21/pdfs/GMD-1803-6.pdf#page=2","Abrir facsímil")</f>
        <v>Abrir facsímil</v>
      </c>
      <c r="K167" s="15" t="s">
        <v>23</v>
      </c>
    </row>
    <row r="168" spans="1:11" ht="42" customHeight="1">
      <c r="A168" s="4" t="s">
        <v>506</v>
      </c>
      <c r="B168" s="5" t="s">
        <v>507</v>
      </c>
      <c r="C168" s="5" t="s">
        <v>18</v>
      </c>
      <c r="D168" s="5" t="s">
        <v>19</v>
      </c>
      <c r="E168" s="5" t="s">
        <v>300</v>
      </c>
      <c r="F168" s="9">
        <v>96</v>
      </c>
      <c r="G168" s="9">
        <v>1028</v>
      </c>
      <c r="H168" s="5" t="s">
        <v>21</v>
      </c>
      <c r="I168" s="5" t="s">
        <v>511</v>
      </c>
      <c r="J168" s="12" t="str">
        <f>HYPERLINK("https://www.boe.es/gazeta/dias/1803/11/29/pdfs/GMD-1803-96.pdf#page=4","Abrir facsímil")</f>
        <v>Abrir facsímil</v>
      </c>
      <c r="K168" s="15" t="s">
        <v>23</v>
      </c>
    </row>
    <row r="169" spans="1:11" ht="42" customHeight="1">
      <c r="A169" s="4" t="s">
        <v>512</v>
      </c>
      <c r="B169" s="5" t="s">
        <v>513</v>
      </c>
      <c r="C169" s="5" t="s">
        <v>51</v>
      </c>
      <c r="D169" s="5" t="s">
        <v>52</v>
      </c>
      <c r="E169" s="5" t="s">
        <v>514</v>
      </c>
      <c r="F169" s="9">
        <v>42</v>
      </c>
      <c r="G169" s="9">
        <v>438</v>
      </c>
      <c r="H169" s="5" t="s">
        <v>21</v>
      </c>
      <c r="I169" s="5" t="s">
        <v>515</v>
      </c>
      <c r="J169" s="12" t="str">
        <f>HYPERLINK("https://www.boe.es/gazeta/dias/1803/05/27/pdfs/GMD-1803-42.pdf#page=6","Abrir facsímil")</f>
        <v>Abrir facsímil</v>
      </c>
      <c r="K169" s="15" t="s">
        <v>23</v>
      </c>
    </row>
    <row r="170" spans="1:11" ht="42" customHeight="1">
      <c r="A170" s="4" t="s">
        <v>512</v>
      </c>
      <c r="B170" s="5" t="s">
        <v>513</v>
      </c>
      <c r="C170" s="5" t="s">
        <v>26</v>
      </c>
      <c r="D170" s="5" t="s">
        <v>27</v>
      </c>
      <c r="E170" s="5" t="s">
        <v>64</v>
      </c>
      <c r="F170" s="9">
        <v>65</v>
      </c>
      <c r="G170" s="9">
        <v>709</v>
      </c>
      <c r="H170" s="5" t="s">
        <v>21</v>
      </c>
      <c r="I170" s="5" t="s">
        <v>516</v>
      </c>
      <c r="J170" s="12" t="str">
        <f>HYPERLINK("https://www.boe.es/gazeta/dias/1803/08/16/pdfs/GMD-1803-65.pdf#page=9","Abrir facsímil")</f>
        <v>Abrir facsímil</v>
      </c>
      <c r="K170" s="15" t="s">
        <v>23</v>
      </c>
    </row>
    <row r="171" spans="1:11" ht="42" customHeight="1">
      <c r="A171" s="4" t="s">
        <v>517</v>
      </c>
      <c r="B171" s="5" t="s">
        <v>518</v>
      </c>
      <c r="C171" s="5" t="s">
        <v>51</v>
      </c>
      <c r="D171" s="5" t="s">
        <v>52</v>
      </c>
      <c r="E171" s="5" t="s">
        <v>519</v>
      </c>
      <c r="F171" s="9">
        <v>50</v>
      </c>
      <c r="G171" s="9">
        <v>544</v>
      </c>
      <c r="H171" s="5" t="s">
        <v>21</v>
      </c>
      <c r="I171" s="5" t="s">
        <v>520</v>
      </c>
      <c r="J171" s="12" t="str">
        <f>HYPERLINK("https://www.boe.es/gazeta/dias/1803/06/24/pdfs/GMD-1803-50.pdf#page=12","Abrir facsímil")</f>
        <v>Abrir facsímil</v>
      </c>
      <c r="K171" s="15" t="s">
        <v>23</v>
      </c>
    </row>
    <row r="172" spans="1:11" ht="42" customHeight="1">
      <c r="A172" s="4" t="s">
        <v>521</v>
      </c>
      <c r="B172" s="5" t="s">
        <v>522</v>
      </c>
      <c r="C172" s="5" t="s">
        <v>51</v>
      </c>
      <c r="D172" s="5" t="s">
        <v>52</v>
      </c>
      <c r="E172" s="5" t="s">
        <v>523</v>
      </c>
      <c r="F172" s="9">
        <v>101</v>
      </c>
      <c r="G172" s="9">
        <v>1086</v>
      </c>
      <c r="H172" s="5" t="s">
        <v>21</v>
      </c>
      <c r="I172" s="5" t="s">
        <v>524</v>
      </c>
      <c r="J172" s="12" t="str">
        <f>HYPERLINK("https://www.boe.es/gazeta/dias/1803/12/16/pdfs/GMD-1803-101.pdf#page=10","Abrir facsímil")</f>
        <v>Abrir facsímil</v>
      </c>
      <c r="K172" s="15" t="s">
        <v>23</v>
      </c>
    </row>
    <row r="173" spans="1:11" ht="42" customHeight="1">
      <c r="A173" s="4" t="s">
        <v>525</v>
      </c>
      <c r="B173" s="5" t="s">
        <v>525</v>
      </c>
      <c r="C173" s="5" t="s">
        <v>40</v>
      </c>
      <c r="D173" s="5" t="s">
        <v>41</v>
      </c>
      <c r="E173" s="5" t="s">
        <v>373</v>
      </c>
      <c r="F173" s="9">
        <v>77</v>
      </c>
      <c r="G173" s="9">
        <v>830</v>
      </c>
      <c r="H173" s="5" t="s">
        <v>21</v>
      </c>
      <c r="I173" s="5" t="s">
        <v>526</v>
      </c>
      <c r="J173" s="12" t="str">
        <f>HYPERLINK("https://www.boe.es/gazeta/dias/1803/09/23/pdfs/GMD-1803-77.pdf#page=6","Abrir facsímil")</f>
        <v>Abrir facsímil</v>
      </c>
      <c r="K173" s="15" t="s">
        <v>23</v>
      </c>
    </row>
    <row r="174" spans="1:11" ht="42" customHeight="1">
      <c r="A174" s="4" t="s">
        <v>527</v>
      </c>
      <c r="B174" s="5" t="s">
        <v>528</v>
      </c>
      <c r="C174" s="5" t="s">
        <v>46</v>
      </c>
      <c r="D174" s="5" t="s">
        <v>19</v>
      </c>
      <c r="E174" s="5" t="s">
        <v>124</v>
      </c>
      <c r="F174" s="9">
        <v>20</v>
      </c>
      <c r="G174" s="9">
        <v>211</v>
      </c>
      <c r="H174" s="5" t="s">
        <v>21</v>
      </c>
      <c r="I174" s="5" t="s">
        <v>529</v>
      </c>
      <c r="J174" s="12" t="str">
        <f>HYPERLINK("https://www.boe.es/gazeta/dias/1803/03/11/pdfs/GMD-1803-20.pdf#page=7","Abrir facsímil")</f>
        <v>Abrir facsímil</v>
      </c>
      <c r="K174" s="15" t="s">
        <v>23</v>
      </c>
    </row>
    <row r="175" spans="1:11" ht="42" customHeight="1">
      <c r="A175" s="4" t="s">
        <v>530</v>
      </c>
      <c r="B175" s="5" t="s">
        <v>531</v>
      </c>
      <c r="C175" s="5" t="s">
        <v>26</v>
      </c>
      <c r="D175" s="5" t="s">
        <v>27</v>
      </c>
      <c r="E175" s="5" t="s">
        <v>132</v>
      </c>
      <c r="F175" s="9">
        <v>58</v>
      </c>
      <c r="G175" s="9">
        <v>639</v>
      </c>
      <c r="H175" s="5" t="s">
        <v>21</v>
      </c>
      <c r="I175" s="5" t="s">
        <v>532</v>
      </c>
      <c r="J175" s="12" t="str">
        <f>HYPERLINK("https://www.boe.es/gazeta/dias/1803/07/22/pdfs/GMD-1803-58.pdf#page=11","Abrir facsímil")</f>
        <v>Abrir facsímil</v>
      </c>
      <c r="K175" s="15" t="s">
        <v>23</v>
      </c>
    </row>
    <row r="176" spans="1:11" ht="42" customHeight="1">
      <c r="A176" s="4" t="s">
        <v>533</v>
      </c>
      <c r="B176" s="5" t="s">
        <v>534</v>
      </c>
      <c r="C176" s="5" t="s">
        <v>18</v>
      </c>
      <c r="D176" s="5" t="s">
        <v>19</v>
      </c>
      <c r="E176" s="5" t="s">
        <v>439</v>
      </c>
      <c r="F176" s="9">
        <v>76</v>
      </c>
      <c r="G176" s="9">
        <v>822</v>
      </c>
      <c r="H176" s="5" t="s">
        <v>21</v>
      </c>
      <c r="I176" s="5" t="s">
        <v>535</v>
      </c>
      <c r="J176" s="12" t="str">
        <f>HYPERLINK("https://www.boe.es/gazeta/dias/1803/09/20/pdfs/GMD-1803-76.pdf#page=10","Abrir facsímil")</f>
        <v>Abrir facsímil</v>
      </c>
      <c r="K176" s="15" t="s">
        <v>23</v>
      </c>
    </row>
    <row r="177" spans="1:11" ht="42" customHeight="1">
      <c r="A177" s="4" t="s">
        <v>536</v>
      </c>
      <c r="B177" s="5" t="s">
        <v>537</v>
      </c>
      <c r="C177" s="5" t="s">
        <v>51</v>
      </c>
      <c r="D177" s="5" t="s">
        <v>52</v>
      </c>
      <c r="E177" s="5" t="s">
        <v>77</v>
      </c>
      <c r="F177" s="9">
        <v>64</v>
      </c>
      <c r="G177" s="9">
        <v>700</v>
      </c>
      <c r="H177" s="5" t="s">
        <v>21</v>
      </c>
      <c r="I177" s="5" t="s">
        <v>538</v>
      </c>
      <c r="J177" s="12" t="str">
        <f>HYPERLINK("https://www.boe.es/gazeta/dias/1803/08/12/pdfs/GMD-1803-64.pdf#page=8","Abrir facsímil")</f>
        <v>Abrir facsímil</v>
      </c>
      <c r="K177" s="15" t="s">
        <v>23</v>
      </c>
    </row>
    <row r="178" spans="1:11" ht="42" customHeight="1">
      <c r="A178" s="4" t="s">
        <v>539</v>
      </c>
      <c r="B178" s="5" t="s">
        <v>540</v>
      </c>
      <c r="C178" s="5" t="s">
        <v>26</v>
      </c>
      <c r="D178" s="5" t="s">
        <v>27</v>
      </c>
      <c r="E178" s="5" t="s">
        <v>203</v>
      </c>
      <c r="F178" s="9">
        <v>32</v>
      </c>
      <c r="G178" s="9">
        <v>336</v>
      </c>
      <c r="H178" s="5" t="s">
        <v>21</v>
      </c>
      <c r="I178" s="5" t="s">
        <v>541</v>
      </c>
      <c r="J178" s="12" t="str">
        <f>HYPERLINK("https://www.boe.es/gazeta/dias/1803/04/22/pdfs/GMD-1803-32.pdf#page=8","Abrir facsímil")</f>
        <v>Abrir facsímil</v>
      </c>
      <c r="K178" s="15" t="s">
        <v>23</v>
      </c>
    </row>
    <row r="179" spans="1:11" ht="42" customHeight="1">
      <c r="A179" s="4" t="s">
        <v>542</v>
      </c>
      <c r="B179" s="5" t="s">
        <v>543</v>
      </c>
      <c r="C179" s="5" t="s">
        <v>40</v>
      </c>
      <c r="D179" s="5" t="s">
        <v>41</v>
      </c>
      <c r="E179" s="5" t="s">
        <v>53</v>
      </c>
      <c r="F179" s="9">
        <v>99</v>
      </c>
      <c r="G179" s="9">
        <v>1060</v>
      </c>
      <c r="H179" s="5" t="s">
        <v>21</v>
      </c>
      <c r="I179" s="5" t="s">
        <v>544</v>
      </c>
      <c r="J179" s="12" t="str">
        <f>HYPERLINK("https://www.boe.es/gazeta/dias/1803/12/09/pdfs/GMD-1803-99.pdf#page=8","Abrir facsímil")</f>
        <v>Abrir facsímil</v>
      </c>
      <c r="K179" s="15" t="s">
        <v>23</v>
      </c>
    </row>
    <row r="180" spans="1:11" ht="42" customHeight="1">
      <c r="A180" s="4" t="s">
        <v>545</v>
      </c>
      <c r="B180" s="5" t="s">
        <v>545</v>
      </c>
      <c r="C180" s="5" t="s">
        <v>40</v>
      </c>
      <c r="D180" s="5" t="s">
        <v>41</v>
      </c>
      <c r="E180" s="5" t="s">
        <v>391</v>
      </c>
      <c r="F180" s="9">
        <v>61</v>
      </c>
      <c r="G180" s="9">
        <v>663</v>
      </c>
      <c r="H180" s="5" t="s">
        <v>21</v>
      </c>
      <c r="I180" s="5" t="s">
        <v>546</v>
      </c>
      <c r="J180" s="12" t="str">
        <f>HYPERLINK("https://www.boe.es/gazeta/dias/1803/08/02/pdfs/GMD-1803-61.pdf#page=3","Abrir facsímil")</f>
        <v>Abrir facsímil</v>
      </c>
      <c r="K180" s="15" t="s">
        <v>23</v>
      </c>
    </row>
    <row r="181" spans="1:11" ht="42" customHeight="1">
      <c r="A181" s="4" t="s">
        <v>547</v>
      </c>
      <c r="B181" s="5" t="s">
        <v>548</v>
      </c>
      <c r="C181" s="5" t="s">
        <v>80</v>
      </c>
      <c r="D181" s="5" t="s">
        <v>81</v>
      </c>
      <c r="E181" s="5" t="s">
        <v>164</v>
      </c>
      <c r="F181" s="9">
        <v>84</v>
      </c>
      <c r="G181" s="9">
        <v>901</v>
      </c>
      <c r="H181" s="5" t="s">
        <v>21</v>
      </c>
      <c r="I181" s="5" t="s">
        <v>549</v>
      </c>
      <c r="J181" s="12" t="str">
        <f>HYPERLINK("https://www.boe.es/gazeta/dias/1803/10/18/pdfs/GMD-1803-84.pdf#page=5","Abrir facsímil")</f>
        <v>Abrir facsímil</v>
      </c>
      <c r="K181" s="15" t="s">
        <v>23</v>
      </c>
    </row>
    <row r="182" spans="1:11" ht="42" customHeight="1">
      <c r="A182" s="4" t="s">
        <v>550</v>
      </c>
      <c r="B182" s="5" t="s">
        <v>551</v>
      </c>
      <c r="C182" s="5" t="s">
        <v>26</v>
      </c>
      <c r="D182" s="5" t="s">
        <v>27</v>
      </c>
      <c r="E182" s="5" t="s">
        <v>71</v>
      </c>
      <c r="F182" s="9">
        <v>39</v>
      </c>
      <c r="G182" s="9">
        <v>413</v>
      </c>
      <c r="H182" s="5" t="s">
        <v>21</v>
      </c>
      <c r="I182" s="5" t="s">
        <v>552</v>
      </c>
      <c r="J182" s="12" t="str">
        <f>HYPERLINK("https://www.boe.es/gazeta/dias/1803/05/17/pdfs/GMD-1803-39.pdf#page=9","Abrir facsímil")</f>
        <v>Abrir facsímil</v>
      </c>
      <c r="K182" s="15" t="s">
        <v>23</v>
      </c>
    </row>
    <row r="183" spans="1:11" ht="42" customHeight="1">
      <c r="A183" s="4" t="s">
        <v>553</v>
      </c>
      <c r="B183" s="5" t="s">
        <v>554</v>
      </c>
      <c r="C183" s="5" t="s">
        <v>46</v>
      </c>
      <c r="D183" s="5" t="s">
        <v>19</v>
      </c>
      <c r="E183" s="5" t="s">
        <v>555</v>
      </c>
      <c r="F183" s="9">
        <v>83</v>
      </c>
      <c r="G183" s="9">
        <v>894</v>
      </c>
      <c r="H183" s="5" t="s">
        <v>21</v>
      </c>
      <c r="I183" s="5" t="s">
        <v>556</v>
      </c>
      <c r="J183" s="12" t="str">
        <f>HYPERLINK("https://www.boe.es/gazeta/dias/1803/10/14/pdfs/GMD-1803-83.pdf#page=6","Abrir facsímil")</f>
        <v>Abrir facsímil</v>
      </c>
      <c r="K183" s="15" t="s">
        <v>23</v>
      </c>
    </row>
    <row r="184" spans="1:11" ht="42" customHeight="1">
      <c r="A184" s="4" t="s">
        <v>557</v>
      </c>
      <c r="B184" s="5" t="s">
        <v>558</v>
      </c>
      <c r="C184" s="5" t="s">
        <v>26</v>
      </c>
      <c r="D184" s="5" t="s">
        <v>27</v>
      </c>
      <c r="E184" s="5" t="s">
        <v>124</v>
      </c>
      <c r="F184" s="9">
        <v>20</v>
      </c>
      <c r="G184" s="9">
        <v>210</v>
      </c>
      <c r="H184" s="5" t="s">
        <v>21</v>
      </c>
      <c r="I184" s="5" t="s">
        <v>559</v>
      </c>
      <c r="J184" s="12" t="str">
        <f>HYPERLINK("https://www.boe.es/gazeta/dias/1803/03/11/pdfs/GMD-1803-20.pdf#page=6","Abrir facsímil")</f>
        <v>Abrir facsímil</v>
      </c>
      <c r="K184" s="15" t="s">
        <v>23</v>
      </c>
    </row>
    <row r="185" spans="1:11" ht="42" customHeight="1">
      <c r="A185" s="4" t="s">
        <v>560</v>
      </c>
      <c r="B185" s="5" t="s">
        <v>561</v>
      </c>
      <c r="C185" s="5" t="s">
        <v>40</v>
      </c>
      <c r="D185" s="5" t="s">
        <v>41</v>
      </c>
      <c r="E185" s="5" t="s">
        <v>407</v>
      </c>
      <c r="F185" s="9">
        <v>82</v>
      </c>
      <c r="G185" s="9">
        <v>885</v>
      </c>
      <c r="H185" s="5" t="s">
        <v>21</v>
      </c>
      <c r="I185" s="5" t="s">
        <v>562</v>
      </c>
      <c r="J185" s="12" t="str">
        <f>HYPERLINK("https://www.boe.es/gazeta/dias/1803/10/11/pdfs/GMD-1803-82.pdf#page=9","Abrir facsímil")</f>
        <v>Abrir facsímil</v>
      </c>
      <c r="K185" s="15" t="s">
        <v>23</v>
      </c>
    </row>
    <row r="186" spans="1:11" ht="42" customHeight="1">
      <c r="A186" s="4" t="s">
        <v>563</v>
      </c>
      <c r="B186" s="5" t="s">
        <v>564</v>
      </c>
      <c r="C186" s="5" t="s">
        <v>26</v>
      </c>
      <c r="D186" s="5" t="s">
        <v>27</v>
      </c>
      <c r="E186" s="5" t="s">
        <v>395</v>
      </c>
      <c r="F186" s="9">
        <v>13</v>
      </c>
      <c r="G186" s="9">
        <v>134</v>
      </c>
      <c r="H186" s="5" t="s">
        <v>21</v>
      </c>
      <c r="I186" s="5" t="s">
        <v>565</v>
      </c>
      <c r="J186" s="12" t="str">
        <f>HYPERLINK("https://www.boe.es/gazeta/dias/1803/02/15/pdfs/GMD-1803-13.pdf#page=10","Abrir facsímil")</f>
        <v>Abrir facsímil</v>
      </c>
      <c r="K186" s="15" t="s">
        <v>23</v>
      </c>
    </row>
    <row r="187" spans="1:11" ht="42" customHeight="1">
      <c r="A187" s="4" t="s">
        <v>566</v>
      </c>
      <c r="B187" s="5" t="s">
        <v>566</v>
      </c>
      <c r="C187" s="5" t="s">
        <v>80</v>
      </c>
      <c r="D187" s="5" t="s">
        <v>81</v>
      </c>
      <c r="E187" s="5" t="s">
        <v>272</v>
      </c>
      <c r="F187" s="9">
        <v>25</v>
      </c>
      <c r="G187" s="9">
        <v>267</v>
      </c>
      <c r="H187" s="5" t="s">
        <v>21</v>
      </c>
      <c r="I187" s="5" t="s">
        <v>567</v>
      </c>
      <c r="J187" s="12" t="str">
        <f>HYPERLINK("https://www.boe.es/gazeta/dias/1803/03/29/pdfs/GMD-1803-25.pdf#page=7","Abrir facsímil")</f>
        <v>Abrir facsímil</v>
      </c>
      <c r="K187" s="15" t="s">
        <v>23</v>
      </c>
    </row>
    <row r="188" spans="1:11" ht="42" customHeight="1">
      <c r="A188" s="4" t="s">
        <v>568</v>
      </c>
      <c r="B188" s="5" t="s">
        <v>569</v>
      </c>
      <c r="C188" s="5" t="s">
        <v>26</v>
      </c>
      <c r="D188" s="5" t="s">
        <v>27</v>
      </c>
      <c r="E188" s="5" t="s">
        <v>156</v>
      </c>
      <c r="F188" s="9">
        <v>2</v>
      </c>
      <c r="G188" s="9">
        <v>18</v>
      </c>
      <c r="H188" s="5" t="s">
        <v>21</v>
      </c>
      <c r="I188" s="5" t="s">
        <v>570</v>
      </c>
      <c r="J188" s="12" t="str">
        <f>HYPERLINK("https://www.boe.es/gazeta/dias/1803/01/07/pdfs/GMD-1803-2.pdf#page=10","Abrir facsímil")</f>
        <v>Abrir facsímil</v>
      </c>
      <c r="K188" s="15" t="s">
        <v>23</v>
      </c>
    </row>
    <row r="189" spans="1:11" ht="42" customHeight="1">
      <c r="A189" s="4" t="s">
        <v>568</v>
      </c>
      <c r="B189" s="5" t="s">
        <v>569</v>
      </c>
      <c r="C189" s="5" t="s">
        <v>51</v>
      </c>
      <c r="D189" s="5" t="s">
        <v>52</v>
      </c>
      <c r="E189" s="5" t="s">
        <v>571</v>
      </c>
      <c r="F189" s="9">
        <v>103</v>
      </c>
      <c r="G189" s="9">
        <v>1107</v>
      </c>
      <c r="H189" s="5" t="s">
        <v>21</v>
      </c>
      <c r="I189" s="5" t="s">
        <v>572</v>
      </c>
      <c r="J189" s="12" t="str">
        <f>HYPERLINK("https://www.boe.es/gazeta/dias/1803/12/23/pdfs/GMD-1803-103.pdf#page=7","Abrir facsímil")</f>
        <v>Abrir facsímil</v>
      </c>
      <c r="K189" s="15" t="s">
        <v>23</v>
      </c>
    </row>
    <row r="190" spans="1:11" ht="42" customHeight="1">
      <c r="A190" s="4" t="s">
        <v>573</v>
      </c>
      <c r="B190" s="5" t="s">
        <v>573</v>
      </c>
      <c r="C190" s="5" t="s">
        <v>26</v>
      </c>
      <c r="D190" s="5" t="s">
        <v>27</v>
      </c>
      <c r="E190" s="5" t="s">
        <v>218</v>
      </c>
      <c r="F190" s="9">
        <v>19</v>
      </c>
      <c r="G190" s="9">
        <v>202</v>
      </c>
      <c r="H190" s="5" t="s">
        <v>21</v>
      </c>
      <c r="I190" s="5" t="s">
        <v>574</v>
      </c>
      <c r="J190" s="12" t="str">
        <f>HYPERLINK("https://www.boe.es/gazeta/dias/1803/03/08/pdfs/GMD-1803-19.pdf#page=10","Abrir facsímil")</f>
        <v>Abrir facsímil</v>
      </c>
      <c r="K190" s="15" t="s">
        <v>23</v>
      </c>
    </row>
    <row r="191" spans="1:11" ht="42" customHeight="1">
      <c r="A191" s="4" t="s">
        <v>575</v>
      </c>
      <c r="B191" s="5" t="s">
        <v>576</v>
      </c>
      <c r="C191" s="5" t="s">
        <v>40</v>
      </c>
      <c r="D191" s="5" t="s">
        <v>41</v>
      </c>
      <c r="E191" s="5" t="s">
        <v>261</v>
      </c>
      <c r="F191" s="9">
        <v>70</v>
      </c>
      <c r="G191" s="9">
        <v>766</v>
      </c>
      <c r="H191" s="5" t="s">
        <v>21</v>
      </c>
      <c r="I191" s="5" t="s">
        <v>577</v>
      </c>
      <c r="J191" s="12" t="str">
        <f>HYPERLINK("https://www.boe.es/gazeta/dias/1803/09/02/pdfs/GMD-1803-70.pdf#page=6","Abrir facsímil")</f>
        <v>Abrir facsímil</v>
      </c>
      <c r="K191" s="15" t="s">
        <v>23</v>
      </c>
    </row>
    <row r="192" spans="1:11" ht="42" customHeight="1">
      <c r="A192" s="4" t="s">
        <v>578</v>
      </c>
      <c r="B192" s="5" t="s">
        <v>579</v>
      </c>
      <c r="C192" s="5" t="s">
        <v>26</v>
      </c>
      <c r="D192" s="5" t="s">
        <v>27</v>
      </c>
      <c r="E192" s="5" t="s">
        <v>152</v>
      </c>
      <c r="F192" s="9">
        <v>16</v>
      </c>
      <c r="G192" s="9">
        <v>166</v>
      </c>
      <c r="H192" s="5" t="s">
        <v>21</v>
      </c>
      <c r="I192" s="5" t="s">
        <v>580</v>
      </c>
      <c r="J192" s="12" t="str">
        <f>HYPERLINK("https://www.boe.es/gazeta/dias/1803/02/25/pdfs/GMD-1803-16.pdf#page=6","Abrir facsímil")</f>
        <v>Abrir facsímil</v>
      </c>
      <c r="K192" s="15" t="s">
        <v>23</v>
      </c>
    </row>
    <row r="193" spans="1:11" ht="42" customHeight="1">
      <c r="A193" s="4" t="s">
        <v>581</v>
      </c>
      <c r="B193" s="5" t="s">
        <v>582</v>
      </c>
      <c r="C193" s="5" t="s">
        <v>26</v>
      </c>
      <c r="D193" s="5" t="s">
        <v>27</v>
      </c>
      <c r="E193" s="5" t="s">
        <v>501</v>
      </c>
      <c r="F193" s="9">
        <v>22</v>
      </c>
      <c r="G193" s="9">
        <v>237</v>
      </c>
      <c r="H193" s="5" t="s">
        <v>21</v>
      </c>
      <c r="I193" s="5" t="s">
        <v>583</v>
      </c>
      <c r="J193" s="12" t="str">
        <f>HYPERLINK("https://www.boe.es/gazeta/dias/1803/03/18/pdfs/GMD-1803-22.pdf#page=9","Abrir facsímil")</f>
        <v>Abrir facsímil</v>
      </c>
      <c r="K193" s="15" t="s">
        <v>23</v>
      </c>
    </row>
    <row r="194" spans="1:11" ht="42" customHeight="1">
      <c r="A194" s="4" t="s">
        <v>584</v>
      </c>
      <c r="B194" s="5" t="s">
        <v>584</v>
      </c>
      <c r="C194" s="5" t="s">
        <v>40</v>
      </c>
      <c r="D194" s="5" t="s">
        <v>41</v>
      </c>
      <c r="E194" s="5" t="s">
        <v>373</v>
      </c>
      <c r="F194" s="9">
        <v>77</v>
      </c>
      <c r="G194" s="9">
        <v>832</v>
      </c>
      <c r="H194" s="5" t="s">
        <v>21</v>
      </c>
      <c r="I194" s="5" t="s">
        <v>585</v>
      </c>
      <c r="J194" s="12" t="str">
        <f>HYPERLINK("https://www.boe.es/gazeta/dias/1803/09/23/pdfs/GMD-1803-77.pdf#page=8","Abrir facsímil")</f>
        <v>Abrir facsímil</v>
      </c>
      <c r="K194" s="15" t="s">
        <v>23</v>
      </c>
    </row>
    <row r="195" spans="1:11" ht="42" customHeight="1">
      <c r="A195" s="4" t="s">
        <v>586</v>
      </c>
      <c r="B195" s="5" t="s">
        <v>587</v>
      </c>
      <c r="C195" s="5" t="s">
        <v>26</v>
      </c>
      <c r="D195" s="5" t="s">
        <v>27</v>
      </c>
      <c r="E195" s="5" t="s">
        <v>588</v>
      </c>
      <c r="F195" s="9">
        <v>63</v>
      </c>
      <c r="G195" s="9">
        <v>687</v>
      </c>
      <c r="H195" s="5" t="s">
        <v>21</v>
      </c>
      <c r="I195" s="5" t="s">
        <v>589</v>
      </c>
      <c r="J195" s="12" t="str">
        <f>HYPERLINK("https://www.boe.es/gazeta/dias/1803/08/09/pdfs/GMD-1803-63.pdf#page=7","Abrir facsímil")</f>
        <v>Abrir facsímil</v>
      </c>
      <c r="K195" s="15" t="s">
        <v>23</v>
      </c>
    </row>
    <row r="196" spans="1:11" ht="42" customHeight="1">
      <c r="A196" s="4" t="s">
        <v>590</v>
      </c>
      <c r="B196" s="5" t="s">
        <v>591</v>
      </c>
      <c r="C196" s="5" t="s">
        <v>51</v>
      </c>
      <c r="D196" s="5" t="s">
        <v>52</v>
      </c>
      <c r="E196" s="5" t="s">
        <v>64</v>
      </c>
      <c r="F196" s="9">
        <v>65</v>
      </c>
      <c r="G196" s="9">
        <v>710</v>
      </c>
      <c r="H196" s="5" t="s">
        <v>21</v>
      </c>
      <c r="I196" s="5" t="s">
        <v>592</v>
      </c>
      <c r="J196" s="12" t="str">
        <f>HYPERLINK("https://www.boe.es/gazeta/dias/1803/08/16/pdfs/GMD-1803-65.pdf#page=10","Abrir facsímil")</f>
        <v>Abrir facsímil</v>
      </c>
      <c r="K196" s="15" t="s">
        <v>23</v>
      </c>
    </row>
    <row r="197" spans="1:11" ht="42" customHeight="1">
      <c r="A197" s="4" t="s">
        <v>593</v>
      </c>
      <c r="B197" s="5" t="s">
        <v>594</v>
      </c>
      <c r="C197" s="5" t="s">
        <v>80</v>
      </c>
      <c r="D197" s="5" t="s">
        <v>81</v>
      </c>
      <c r="E197" s="5" t="s">
        <v>480</v>
      </c>
      <c r="F197" s="9">
        <v>87</v>
      </c>
      <c r="G197" s="9">
        <v>939</v>
      </c>
      <c r="H197" s="5" t="s">
        <v>21</v>
      </c>
      <c r="I197" s="5" t="s">
        <v>595</v>
      </c>
      <c r="J197" s="12" t="str">
        <f>HYPERLINK("https://www.boe.es/gazeta/dias/1803/10/28/pdfs/GMD-1803-87.pdf#page=7","Abrir facsímil")</f>
        <v>Abrir facsímil</v>
      </c>
      <c r="K197" s="15" t="s">
        <v>23</v>
      </c>
    </row>
    <row r="198" spans="1:11" ht="42" customHeight="1">
      <c r="A198" s="4" t="s">
        <v>596</v>
      </c>
      <c r="B198" s="5" t="s">
        <v>597</v>
      </c>
      <c r="C198" s="5" t="s">
        <v>26</v>
      </c>
      <c r="D198" s="5" t="s">
        <v>27</v>
      </c>
      <c r="E198" s="5" t="s">
        <v>102</v>
      </c>
      <c r="F198" s="9">
        <v>31</v>
      </c>
      <c r="G198" s="9">
        <v>326</v>
      </c>
      <c r="H198" s="5" t="s">
        <v>21</v>
      </c>
      <c r="I198" s="5" t="s">
        <v>598</v>
      </c>
      <c r="J198" s="12" t="str">
        <f>HYPERLINK("https://www.boe.es/gazeta/dias/1803/04/19/pdfs/GMD-1803-31.pdf#page=6","Abrir facsímil")</f>
        <v>Abrir facsímil</v>
      </c>
      <c r="K198" s="15" t="s">
        <v>23</v>
      </c>
    </row>
    <row r="199" spans="1:11" ht="42" customHeight="1">
      <c r="A199" s="4" t="s">
        <v>599</v>
      </c>
      <c r="B199" s="5" t="s">
        <v>600</v>
      </c>
      <c r="C199" s="5" t="s">
        <v>26</v>
      </c>
      <c r="D199" s="5" t="s">
        <v>27</v>
      </c>
      <c r="E199" s="5" t="s">
        <v>138</v>
      </c>
      <c r="F199" s="9">
        <v>68</v>
      </c>
      <c r="G199" s="9">
        <v>741</v>
      </c>
      <c r="H199" s="5" t="s">
        <v>21</v>
      </c>
      <c r="I199" s="5" t="s">
        <v>601</v>
      </c>
      <c r="J199" s="12" t="str">
        <f>HYPERLINK("https://www.boe.es/gazeta/dias/1803/08/26/pdfs/GMD-1803-68.pdf#page=9","Abrir facsímil")</f>
        <v>Abrir facsímil</v>
      </c>
      <c r="K199" s="15" t="s">
        <v>23</v>
      </c>
    </row>
    <row r="200" spans="1:11" ht="42" customHeight="1">
      <c r="A200" s="4" t="s">
        <v>599</v>
      </c>
      <c r="B200" s="5" t="s">
        <v>600</v>
      </c>
      <c r="C200" s="5" t="s">
        <v>26</v>
      </c>
      <c r="D200" s="5" t="s">
        <v>27</v>
      </c>
      <c r="E200" s="5" t="s">
        <v>300</v>
      </c>
      <c r="F200" s="9">
        <v>96</v>
      </c>
      <c r="G200" s="9">
        <v>1033</v>
      </c>
      <c r="H200" s="5" t="s">
        <v>21</v>
      </c>
      <c r="I200" s="5" t="s">
        <v>602</v>
      </c>
      <c r="J200" s="12" t="str">
        <f>HYPERLINK("https://www.boe.es/gazeta/dias/1803/11/29/pdfs/GMD-1803-96.pdf#page=9","Abrir facsímil")</f>
        <v>Abrir facsímil</v>
      </c>
      <c r="K200" s="15" t="s">
        <v>23</v>
      </c>
    </row>
    <row r="201" spans="1:11" ht="42" customHeight="1">
      <c r="A201" s="4" t="s">
        <v>603</v>
      </c>
      <c r="B201" s="5" t="s">
        <v>604</v>
      </c>
      <c r="C201" s="5" t="s">
        <v>51</v>
      </c>
      <c r="D201" s="5" t="s">
        <v>52</v>
      </c>
      <c r="E201" s="5" t="s">
        <v>93</v>
      </c>
      <c r="F201" s="9">
        <v>43</v>
      </c>
      <c r="G201" s="9">
        <v>450</v>
      </c>
      <c r="H201" s="5" t="s">
        <v>21</v>
      </c>
      <c r="I201" s="5" t="s">
        <v>605</v>
      </c>
      <c r="J201" s="12" t="str">
        <f>HYPERLINK("https://www.boe.es/gazeta/dias/1803/05/31/pdfs/GMD-1803-43.pdf#page=10","Abrir facsímil")</f>
        <v>Abrir facsímil</v>
      </c>
      <c r="K201" s="15" t="s">
        <v>23</v>
      </c>
    </row>
    <row r="202" spans="1:11" ht="42" customHeight="1">
      <c r="A202" s="4" t="s">
        <v>603</v>
      </c>
      <c r="B202" s="5" t="s">
        <v>604</v>
      </c>
      <c r="C202" s="5" t="s">
        <v>26</v>
      </c>
      <c r="D202" s="5" t="s">
        <v>27</v>
      </c>
      <c r="E202" s="5" t="s">
        <v>606</v>
      </c>
      <c r="F202" s="9">
        <v>47</v>
      </c>
      <c r="G202" s="9">
        <v>498</v>
      </c>
      <c r="H202" s="5" t="s">
        <v>21</v>
      </c>
      <c r="I202" s="5" t="s">
        <v>607</v>
      </c>
      <c r="J202" s="12" t="str">
        <f>HYPERLINK("https://www.boe.es/gazeta/dias/1803/06/14/pdfs/GMD-1803-47.pdf#page=10","Abrir facsímil")</f>
        <v>Abrir facsímil</v>
      </c>
      <c r="K202" s="15" t="s">
        <v>23</v>
      </c>
    </row>
    <row r="203" spans="1:11" ht="42" customHeight="1">
      <c r="A203" s="4" t="s">
        <v>608</v>
      </c>
      <c r="B203" s="5" t="s">
        <v>608</v>
      </c>
      <c r="C203" s="5" t="s">
        <v>40</v>
      </c>
      <c r="D203" s="5" t="s">
        <v>41</v>
      </c>
      <c r="E203" s="5" t="s">
        <v>609</v>
      </c>
      <c r="F203" s="9">
        <v>57</v>
      </c>
      <c r="G203" s="9">
        <v>614</v>
      </c>
      <c r="H203" s="5" t="s">
        <v>21</v>
      </c>
      <c r="I203" s="5" t="s">
        <v>610</v>
      </c>
      <c r="J203" s="12" t="str">
        <f>HYPERLINK("https://www.boe.es/gazeta/dias/1803/07/19/pdfs/GMD-1803-57.pdf#page=2","Abrir facsímil")</f>
        <v>Abrir facsímil</v>
      </c>
      <c r="K203" s="15" t="s">
        <v>23</v>
      </c>
    </row>
    <row r="204" spans="1:11" ht="42" customHeight="1">
      <c r="A204" s="4" t="s">
        <v>611</v>
      </c>
      <c r="B204" s="5" t="s">
        <v>611</v>
      </c>
      <c r="C204" s="5" t="s">
        <v>51</v>
      </c>
      <c r="D204" s="5" t="s">
        <v>52</v>
      </c>
      <c r="E204" s="5" t="s">
        <v>156</v>
      </c>
      <c r="F204" s="9">
        <v>2</v>
      </c>
      <c r="G204" s="9">
        <v>15</v>
      </c>
      <c r="H204" s="5" t="s">
        <v>21</v>
      </c>
      <c r="I204" s="5" t="s">
        <v>612</v>
      </c>
      <c r="J204" s="12" t="str">
        <f>HYPERLINK("https://www.boe.es/gazeta/dias/1803/01/07/pdfs/GMD-1803-2.pdf#page=7","Abrir facsímil")</f>
        <v>Abrir facsímil</v>
      </c>
      <c r="K204" s="15" t="s">
        <v>23</v>
      </c>
    </row>
    <row r="205" spans="1:11" ht="42" customHeight="1">
      <c r="A205" s="4" t="s">
        <v>613</v>
      </c>
      <c r="B205" s="5" t="s">
        <v>614</v>
      </c>
      <c r="C205" s="5" t="s">
        <v>40</v>
      </c>
      <c r="D205" s="5" t="s">
        <v>41</v>
      </c>
      <c r="E205" s="5" t="s">
        <v>203</v>
      </c>
      <c r="F205" s="9">
        <v>32</v>
      </c>
      <c r="G205" s="9">
        <v>334</v>
      </c>
      <c r="H205" s="5" t="s">
        <v>21</v>
      </c>
      <c r="I205" s="5" t="s">
        <v>615</v>
      </c>
      <c r="J205" s="12" t="str">
        <f>HYPERLINK("https://www.boe.es/gazeta/dias/1803/04/22/pdfs/GMD-1803-32.pdf#page=6","Abrir facsímil")</f>
        <v>Abrir facsímil</v>
      </c>
      <c r="K205" s="15" t="s">
        <v>23</v>
      </c>
    </row>
    <row r="206" spans="1:11" ht="42" customHeight="1">
      <c r="A206" s="4" t="s">
        <v>613</v>
      </c>
      <c r="B206" s="5" t="s">
        <v>614</v>
      </c>
      <c r="C206" s="5" t="s">
        <v>40</v>
      </c>
      <c r="D206" s="5" t="s">
        <v>41</v>
      </c>
      <c r="E206" s="5" t="s">
        <v>75</v>
      </c>
      <c r="F206" s="9">
        <v>56</v>
      </c>
      <c r="G206" s="9">
        <v>608</v>
      </c>
      <c r="H206" s="5" t="s">
        <v>21</v>
      </c>
      <c r="I206" s="5" t="s">
        <v>616</v>
      </c>
      <c r="J206" s="12" t="str">
        <f>HYPERLINK("https://www.boe.es/gazeta/dias/1803/07/15/pdfs/GMD-1803-56.pdf#page=4","Abrir facsímil")</f>
        <v>Abrir facsímil</v>
      </c>
      <c r="K206" s="15" t="s">
        <v>23</v>
      </c>
    </row>
    <row r="207" spans="1:11" ht="42" customHeight="1">
      <c r="A207" s="4" t="s">
        <v>617</v>
      </c>
      <c r="B207" s="5" t="s">
        <v>618</v>
      </c>
      <c r="C207" s="5" t="s">
        <v>40</v>
      </c>
      <c r="D207" s="5" t="s">
        <v>41</v>
      </c>
      <c r="E207" s="5" t="s">
        <v>619</v>
      </c>
      <c r="F207" s="9">
        <v>53</v>
      </c>
      <c r="G207" s="9">
        <v>579</v>
      </c>
      <c r="H207" s="5" t="s">
        <v>21</v>
      </c>
      <c r="I207" s="5" t="s">
        <v>620</v>
      </c>
      <c r="J207" s="12" t="str">
        <f>HYPERLINK("https://www.boe.es/gazeta/dias/1803/07/05/pdfs/GMD-1803-53.pdf#page=11","Abrir facsímil")</f>
        <v>Abrir facsímil</v>
      </c>
      <c r="K207" s="15" t="s">
        <v>23</v>
      </c>
    </row>
    <row r="208" spans="1:11" ht="42" customHeight="1">
      <c r="A208" s="4" t="s">
        <v>617</v>
      </c>
      <c r="B208" s="5" t="s">
        <v>618</v>
      </c>
      <c r="C208" s="5" t="s">
        <v>51</v>
      </c>
      <c r="D208" s="5" t="s">
        <v>52</v>
      </c>
      <c r="E208" s="5" t="s">
        <v>300</v>
      </c>
      <c r="F208" s="9">
        <v>96</v>
      </c>
      <c r="G208" s="9">
        <v>1035</v>
      </c>
      <c r="H208" s="5" t="s">
        <v>21</v>
      </c>
      <c r="I208" s="5" t="s">
        <v>621</v>
      </c>
      <c r="J208" s="12" t="str">
        <f>HYPERLINK("https://www.boe.es/gazeta/dias/1803/11/29/pdfs/GMD-1803-96.pdf#page=11","Abrir facsímil")</f>
        <v>Abrir facsímil</v>
      </c>
      <c r="K208" s="15" t="s">
        <v>23</v>
      </c>
    </row>
    <row r="209" spans="1:11" ht="42" customHeight="1">
      <c r="A209" s="4" t="s">
        <v>617</v>
      </c>
      <c r="B209" s="5" t="s">
        <v>618</v>
      </c>
      <c r="C209" s="5" t="s">
        <v>51</v>
      </c>
      <c r="D209" s="5" t="s">
        <v>52</v>
      </c>
      <c r="E209" s="5" t="s">
        <v>336</v>
      </c>
      <c r="F209" s="9">
        <v>105</v>
      </c>
      <c r="G209" s="9">
        <v>1123</v>
      </c>
      <c r="H209" s="5" t="s">
        <v>21</v>
      </c>
      <c r="I209" s="5" t="s">
        <v>622</v>
      </c>
      <c r="J209" s="12" t="str">
        <f>HYPERLINK("https://www.boe.es/gazeta/dias/1803/12/30/pdfs/GMD-1803-105.pdf#page=7","Abrir facsímil")</f>
        <v>Abrir facsímil</v>
      </c>
      <c r="K209" s="15" t="s">
        <v>23</v>
      </c>
    </row>
    <row r="210" spans="1:11" ht="42" customHeight="1">
      <c r="A210" s="4" t="s">
        <v>623</v>
      </c>
      <c r="B210" s="5" t="s">
        <v>624</v>
      </c>
      <c r="C210" s="5" t="s">
        <v>26</v>
      </c>
      <c r="D210" s="5" t="s">
        <v>27</v>
      </c>
      <c r="E210" s="5" t="s">
        <v>278</v>
      </c>
      <c r="F210" s="9">
        <v>46</v>
      </c>
      <c r="G210" s="9">
        <v>487</v>
      </c>
      <c r="H210" s="5" t="s">
        <v>21</v>
      </c>
      <c r="I210" s="5" t="s">
        <v>625</v>
      </c>
      <c r="J210" s="12" t="str">
        <f>HYPERLINK("https://www.boe.es/gazeta/dias/1803/06/10/pdfs/GMD-1803-46.pdf#page=11","Abrir facsímil")</f>
        <v>Abrir facsímil</v>
      </c>
      <c r="K210" s="15" t="s">
        <v>23</v>
      </c>
    </row>
    <row r="211" spans="1:11" ht="42" customHeight="1">
      <c r="A211" s="4" t="s">
        <v>626</v>
      </c>
      <c r="B211" s="5" t="s">
        <v>627</v>
      </c>
      <c r="C211" s="5" t="s">
        <v>18</v>
      </c>
      <c r="D211" s="5" t="s">
        <v>19</v>
      </c>
      <c r="E211" s="5" t="s">
        <v>75</v>
      </c>
      <c r="F211" s="9">
        <v>56</v>
      </c>
      <c r="G211" s="9">
        <v>611</v>
      </c>
      <c r="H211" s="5" t="s">
        <v>21</v>
      </c>
      <c r="I211" s="5" t="s">
        <v>628</v>
      </c>
      <c r="J211" s="12" t="str">
        <f>HYPERLINK("https://www.boe.es/gazeta/dias/1803/07/15/pdfs/GMD-1803-56.pdf#page=7","Abrir facsímil")</f>
        <v>Abrir facsímil</v>
      </c>
      <c r="K211" s="15" t="s">
        <v>23</v>
      </c>
    </row>
    <row r="212" spans="1:11" ht="42" customHeight="1">
      <c r="A212" s="4" t="s">
        <v>629</v>
      </c>
      <c r="B212" s="5" t="s">
        <v>629</v>
      </c>
      <c r="C212" s="5" t="s">
        <v>40</v>
      </c>
      <c r="D212" s="5" t="s">
        <v>41</v>
      </c>
      <c r="E212" s="5" t="s">
        <v>630</v>
      </c>
      <c r="F212" s="9">
        <v>85</v>
      </c>
      <c r="G212" s="9">
        <v>912</v>
      </c>
      <c r="H212" s="5" t="s">
        <v>21</v>
      </c>
      <c r="I212" s="5" t="s">
        <v>631</v>
      </c>
      <c r="J212" s="12" t="str">
        <f>HYPERLINK("https://www.boe.es/gazeta/dias/1803/10/21/pdfs/GMD-1803-85.pdf#page=4","Abrir facsímil")</f>
        <v>Abrir facsímil</v>
      </c>
      <c r="K212" s="15" t="s">
        <v>23</v>
      </c>
    </row>
    <row r="213" spans="1:11" ht="42" customHeight="1">
      <c r="A213" s="4" t="s">
        <v>632</v>
      </c>
      <c r="B213" s="5" t="s">
        <v>633</v>
      </c>
      <c r="C213" s="5" t="s">
        <v>18</v>
      </c>
      <c r="D213" s="5" t="s">
        <v>19</v>
      </c>
      <c r="E213" s="5" t="s">
        <v>174</v>
      </c>
      <c r="F213" s="9">
        <v>21</v>
      </c>
      <c r="G213" s="9">
        <v>223</v>
      </c>
      <c r="H213" s="5" t="s">
        <v>21</v>
      </c>
      <c r="I213" s="5" t="s">
        <v>634</v>
      </c>
      <c r="J213" s="12" t="str">
        <f>HYPERLINK("https://www.boe.es/gazeta/dias/1803/03/15/pdfs/GMD-1803-21.pdf#page=7","Abrir facsímil")</f>
        <v>Abrir facsímil</v>
      </c>
      <c r="K213" s="15" t="s">
        <v>23</v>
      </c>
    </row>
    <row r="214" spans="1:11" ht="42" customHeight="1">
      <c r="A214" s="4" t="s">
        <v>635</v>
      </c>
      <c r="B214" s="5" t="s">
        <v>635</v>
      </c>
      <c r="C214" s="5" t="s">
        <v>51</v>
      </c>
      <c r="D214" s="5" t="s">
        <v>52</v>
      </c>
      <c r="E214" s="5" t="s">
        <v>496</v>
      </c>
      <c r="F214" s="9">
        <v>90</v>
      </c>
      <c r="G214" s="9">
        <v>966</v>
      </c>
      <c r="H214" s="5" t="s">
        <v>21</v>
      </c>
      <c r="I214" s="5" t="s">
        <v>636</v>
      </c>
      <c r="J214" s="12" t="str">
        <f>HYPERLINK("https://www.boe.es/gazeta/dias/1803/11/08/pdfs/GMD-1803-90.pdf#page=6","Abrir facsímil")</f>
        <v>Abrir facsímil</v>
      </c>
      <c r="K214" s="15" t="s">
        <v>23</v>
      </c>
    </row>
    <row r="215" spans="1:11" ht="42" customHeight="1">
      <c r="A215" s="4" t="s">
        <v>637</v>
      </c>
      <c r="B215" s="5" t="s">
        <v>637</v>
      </c>
      <c r="C215" s="5" t="s">
        <v>26</v>
      </c>
      <c r="D215" s="5" t="s">
        <v>27</v>
      </c>
      <c r="E215" s="5" t="s">
        <v>501</v>
      </c>
      <c r="F215" s="9">
        <v>22</v>
      </c>
      <c r="G215" s="9">
        <v>237</v>
      </c>
      <c r="H215" s="5" t="s">
        <v>21</v>
      </c>
      <c r="I215" s="5" t="s">
        <v>638</v>
      </c>
      <c r="J215" s="12" t="str">
        <f>HYPERLINK("https://www.boe.es/gazeta/dias/1803/03/18/pdfs/GMD-1803-22.pdf#page=9","Abrir facsímil")</f>
        <v>Abrir facsímil</v>
      </c>
      <c r="K215" s="15" t="s">
        <v>23</v>
      </c>
    </row>
    <row r="216" spans="1:11" ht="42" customHeight="1">
      <c r="A216" s="4" t="s">
        <v>639</v>
      </c>
      <c r="B216" s="5" t="s">
        <v>640</v>
      </c>
      <c r="C216" s="5" t="s">
        <v>26</v>
      </c>
      <c r="D216" s="5" t="s">
        <v>27</v>
      </c>
      <c r="E216" s="5" t="s">
        <v>309</v>
      </c>
      <c r="F216" s="9">
        <v>37</v>
      </c>
      <c r="G216" s="9">
        <v>384</v>
      </c>
      <c r="H216" s="5" t="s">
        <v>21</v>
      </c>
      <c r="I216" s="5" t="s">
        <v>641</v>
      </c>
      <c r="J216" s="12" t="str">
        <f>HYPERLINK("https://www.boe.es/gazeta/dias/1803/05/10/pdfs/GMD-1803-37.pdf#page=8","Abrir facsímil")</f>
        <v>Abrir facsímil</v>
      </c>
      <c r="K216" s="15" t="s">
        <v>23</v>
      </c>
    </row>
    <row r="217" spans="1:11" ht="42" customHeight="1">
      <c r="A217" s="4" t="s">
        <v>642</v>
      </c>
      <c r="B217" s="5" t="s">
        <v>643</v>
      </c>
      <c r="C217" s="5" t="s">
        <v>80</v>
      </c>
      <c r="D217" s="5" t="s">
        <v>81</v>
      </c>
      <c r="E217" s="5" t="s">
        <v>571</v>
      </c>
      <c r="F217" s="9">
        <v>103</v>
      </c>
      <c r="G217" s="9">
        <v>1108</v>
      </c>
      <c r="H217" s="5" t="s">
        <v>21</v>
      </c>
      <c r="I217" s="5" t="s">
        <v>644</v>
      </c>
      <c r="J217" s="12" t="str">
        <f>HYPERLINK("https://www.boe.es/gazeta/dias/1803/12/23/pdfs/GMD-1803-103.pdf#page=8","Abrir facsímil")</f>
        <v>Abrir facsímil</v>
      </c>
      <c r="K217" s="15" t="s">
        <v>23</v>
      </c>
    </row>
    <row r="218" spans="1:11" ht="42" customHeight="1">
      <c r="A218" s="4" t="s">
        <v>645</v>
      </c>
      <c r="B218" s="5" t="s">
        <v>645</v>
      </c>
      <c r="C218" s="5" t="s">
        <v>26</v>
      </c>
      <c r="D218" s="5" t="s">
        <v>27</v>
      </c>
      <c r="E218" s="5" t="s">
        <v>321</v>
      </c>
      <c r="F218" s="9">
        <v>94</v>
      </c>
      <c r="G218" s="9">
        <v>1008</v>
      </c>
      <c r="H218" s="5" t="s">
        <v>21</v>
      </c>
      <c r="I218" s="5" t="s">
        <v>646</v>
      </c>
      <c r="J218" s="12" t="str">
        <f>HYPERLINK("https://www.boe.es/gazeta/dias/1803/11/22/pdfs/GMD-1803-94.pdf#page=8","Abrir facsímil")</f>
        <v>Abrir facsímil</v>
      </c>
      <c r="K218" s="15" t="s">
        <v>23</v>
      </c>
    </row>
    <row r="219" spans="1:11" ht="42" customHeight="1">
      <c r="A219" s="4" t="s">
        <v>647</v>
      </c>
      <c r="B219" s="5" t="s">
        <v>648</v>
      </c>
      <c r="C219" s="5" t="s">
        <v>46</v>
      </c>
      <c r="D219" s="5" t="s">
        <v>19</v>
      </c>
      <c r="E219" s="5" t="s">
        <v>178</v>
      </c>
      <c r="F219" s="9">
        <v>36</v>
      </c>
      <c r="G219" s="9">
        <v>370</v>
      </c>
      <c r="H219" s="5" t="s">
        <v>21</v>
      </c>
      <c r="I219" s="5" t="s">
        <v>649</v>
      </c>
      <c r="J219" s="12" t="str">
        <f>HYPERLINK("https://www.boe.es/gazeta/dias/1803/05/06/pdfs/GMD-1803-36.pdf#page=2","Abrir facsímil")</f>
        <v>Abrir facsímil</v>
      </c>
      <c r="K219" s="15" t="s">
        <v>23</v>
      </c>
    </row>
    <row r="220" spans="1:11" ht="42" customHeight="1">
      <c r="A220" s="4" t="s">
        <v>650</v>
      </c>
      <c r="B220" s="5" t="s">
        <v>650</v>
      </c>
      <c r="C220" s="5" t="s">
        <v>40</v>
      </c>
      <c r="D220" s="5" t="s">
        <v>41</v>
      </c>
      <c r="E220" s="5" t="s">
        <v>36</v>
      </c>
      <c r="F220" s="9">
        <v>79</v>
      </c>
      <c r="G220" s="9">
        <v>854</v>
      </c>
      <c r="H220" s="5" t="s">
        <v>21</v>
      </c>
      <c r="I220" s="5" t="s">
        <v>651</v>
      </c>
      <c r="J220" s="12" t="str">
        <f>HYPERLINK("https://www.boe.es/gazeta/dias/1803/09/30/pdfs/GMD-1803-79.pdf#page=6","Abrir facsímil")</f>
        <v>Abrir facsímil</v>
      </c>
      <c r="K220" s="15" t="s">
        <v>23</v>
      </c>
    </row>
    <row r="221" spans="1:11" ht="42" customHeight="1">
      <c r="A221" s="4" t="s">
        <v>652</v>
      </c>
      <c r="B221" s="5" t="s">
        <v>653</v>
      </c>
      <c r="C221" s="5" t="s">
        <v>40</v>
      </c>
      <c r="D221" s="5" t="s">
        <v>41</v>
      </c>
      <c r="E221" s="5" t="s">
        <v>619</v>
      </c>
      <c r="F221" s="9">
        <v>53</v>
      </c>
      <c r="G221" s="9">
        <v>572</v>
      </c>
      <c r="H221" s="5" t="s">
        <v>21</v>
      </c>
      <c r="I221" s="5" t="s">
        <v>654</v>
      </c>
      <c r="J221" s="12" t="str">
        <f>HYPERLINK("https://www.boe.es/gazeta/dias/1803/07/05/pdfs/GMD-1803-53.pdf#page=4","Abrir facsímil")</f>
        <v>Abrir facsímil</v>
      </c>
      <c r="K221" s="15" t="s">
        <v>23</v>
      </c>
    </row>
    <row r="222" spans="1:11" ht="42" customHeight="1">
      <c r="A222" s="4" t="s">
        <v>655</v>
      </c>
      <c r="B222" s="5" t="s">
        <v>656</v>
      </c>
      <c r="C222" s="5" t="s">
        <v>40</v>
      </c>
      <c r="D222" s="5" t="s">
        <v>41</v>
      </c>
      <c r="E222" s="5" t="s">
        <v>657</v>
      </c>
      <c r="F222" s="9">
        <v>24</v>
      </c>
      <c r="G222" s="9">
        <v>252</v>
      </c>
      <c r="H222" s="5" t="s">
        <v>21</v>
      </c>
      <c r="I222" s="5" t="s">
        <v>658</v>
      </c>
      <c r="J222" s="12" t="str">
        <f>HYPERLINK("https://www.boe.es/gazeta/dias/1803/03/25/pdfs/GMD-1803-24.pdf#page=4","Abrir facsímil")</f>
        <v>Abrir facsímil</v>
      </c>
      <c r="K222" s="15" t="s">
        <v>23</v>
      </c>
    </row>
    <row r="223" spans="1:11" ht="42" customHeight="1">
      <c r="A223" s="4" t="s">
        <v>659</v>
      </c>
      <c r="B223" s="5" t="s">
        <v>659</v>
      </c>
      <c r="C223" s="5" t="s">
        <v>26</v>
      </c>
      <c r="D223" s="5" t="s">
        <v>27</v>
      </c>
      <c r="E223" s="5" t="s">
        <v>555</v>
      </c>
      <c r="F223" s="9">
        <v>83</v>
      </c>
      <c r="G223" s="9">
        <v>894</v>
      </c>
      <c r="H223" s="5" t="s">
        <v>21</v>
      </c>
      <c r="I223" s="5" t="s">
        <v>660</v>
      </c>
      <c r="J223" s="12" t="str">
        <f>HYPERLINK("https://www.boe.es/gazeta/dias/1803/10/14/pdfs/GMD-1803-83.pdf#page=6","Abrir facsímil")</f>
        <v>Abrir facsímil</v>
      </c>
      <c r="K223" s="15" t="s">
        <v>23</v>
      </c>
    </row>
    <row r="224" spans="1:11" ht="42" customHeight="1">
      <c r="A224" s="4" t="s">
        <v>661</v>
      </c>
      <c r="B224" s="5" t="s">
        <v>661</v>
      </c>
      <c r="C224" s="5" t="s">
        <v>26</v>
      </c>
      <c r="D224" s="5" t="s">
        <v>27</v>
      </c>
      <c r="E224" s="5" t="s">
        <v>263</v>
      </c>
      <c r="F224" s="9">
        <v>75</v>
      </c>
      <c r="G224" s="9">
        <v>810</v>
      </c>
      <c r="H224" s="5" t="s">
        <v>21</v>
      </c>
      <c r="I224" s="5" t="s">
        <v>662</v>
      </c>
      <c r="J224" s="12" t="str">
        <f>HYPERLINK("https://www.boe.es/gazeta/dias/1803/09/16/pdfs/GMD-1803-75.pdf#page=6","Abrir facsímil")</f>
        <v>Abrir facsímil</v>
      </c>
      <c r="K224" s="15" t="s">
        <v>23</v>
      </c>
    </row>
    <row r="225" spans="1:11" ht="42" customHeight="1">
      <c r="A225" s="4" t="s">
        <v>663</v>
      </c>
      <c r="B225" s="5" t="s">
        <v>664</v>
      </c>
      <c r="C225" s="5" t="s">
        <v>40</v>
      </c>
      <c r="D225" s="5" t="s">
        <v>41</v>
      </c>
      <c r="E225" s="5" t="s">
        <v>218</v>
      </c>
      <c r="F225" s="9">
        <v>19</v>
      </c>
      <c r="G225" s="9">
        <v>201</v>
      </c>
      <c r="H225" s="5" t="s">
        <v>21</v>
      </c>
      <c r="I225" s="5" t="s">
        <v>665</v>
      </c>
      <c r="J225" s="12" t="str">
        <f>HYPERLINK("https://www.boe.es/gazeta/dias/1803/03/08/pdfs/GMD-1803-19.pdf#page=9","Abrir facsímil")</f>
        <v>Abrir facsímil</v>
      </c>
      <c r="K225" s="15" t="s">
        <v>23</v>
      </c>
    </row>
    <row r="226" spans="1:11" ht="42" customHeight="1">
      <c r="A226" s="4" t="s">
        <v>666</v>
      </c>
      <c r="B226" s="5" t="s">
        <v>667</v>
      </c>
      <c r="C226" s="5" t="s">
        <v>18</v>
      </c>
      <c r="D226" s="5" t="s">
        <v>19</v>
      </c>
      <c r="E226" s="5" t="s">
        <v>309</v>
      </c>
      <c r="F226" s="9">
        <v>37</v>
      </c>
      <c r="G226" s="9">
        <v>384</v>
      </c>
      <c r="H226" s="5" t="s">
        <v>21</v>
      </c>
      <c r="I226" s="5" t="s">
        <v>668</v>
      </c>
      <c r="J226" s="12" t="str">
        <f>HYPERLINK("https://www.boe.es/gazeta/dias/1803/05/10/pdfs/GMD-1803-37.pdf#page=8","Abrir facsímil")</f>
        <v>Abrir facsímil</v>
      </c>
      <c r="K226" s="15" t="s">
        <v>23</v>
      </c>
    </row>
    <row r="227" spans="1:11" ht="42" customHeight="1">
      <c r="A227" s="4" t="s">
        <v>669</v>
      </c>
      <c r="B227" s="5" t="s">
        <v>669</v>
      </c>
      <c r="C227" s="5" t="s">
        <v>26</v>
      </c>
      <c r="D227" s="5" t="s">
        <v>27</v>
      </c>
      <c r="E227" s="5" t="s">
        <v>156</v>
      </c>
      <c r="F227" s="9">
        <v>2</v>
      </c>
      <c r="G227" s="9">
        <v>17</v>
      </c>
      <c r="H227" s="5" t="s">
        <v>21</v>
      </c>
      <c r="I227" s="5" t="s">
        <v>670</v>
      </c>
      <c r="J227" s="12" t="str">
        <f>HYPERLINK("https://www.boe.es/gazeta/dias/1803/01/07/pdfs/GMD-1803-2.pdf#page=9","Abrir facsímil")</f>
        <v>Abrir facsímil</v>
      </c>
      <c r="K227" s="15" t="s">
        <v>23</v>
      </c>
    </row>
    <row r="228" spans="1:11" ht="42" customHeight="1">
      <c r="A228" s="4" t="s">
        <v>671</v>
      </c>
      <c r="B228" s="5" t="s">
        <v>672</v>
      </c>
      <c r="C228" s="5" t="s">
        <v>26</v>
      </c>
      <c r="D228" s="5" t="s">
        <v>27</v>
      </c>
      <c r="E228" s="5" t="s">
        <v>272</v>
      </c>
      <c r="F228" s="9">
        <v>25</v>
      </c>
      <c r="G228" s="9">
        <v>266</v>
      </c>
      <c r="H228" s="5" t="s">
        <v>21</v>
      </c>
      <c r="I228" s="5" t="s">
        <v>673</v>
      </c>
      <c r="J228" s="12" t="str">
        <f>HYPERLINK("https://www.boe.es/gazeta/dias/1803/03/29/pdfs/GMD-1803-25.pdf#page=6","Abrir facsímil")</f>
        <v>Abrir facsímil</v>
      </c>
      <c r="K228" s="15" t="s">
        <v>23</v>
      </c>
    </row>
    <row r="229" spans="1:11" ht="42" customHeight="1">
      <c r="A229" s="4" t="s">
        <v>674</v>
      </c>
      <c r="B229" s="5" t="s">
        <v>675</v>
      </c>
      <c r="C229" s="5" t="s">
        <v>26</v>
      </c>
      <c r="D229" s="5" t="s">
        <v>27</v>
      </c>
      <c r="E229" s="5" t="s">
        <v>555</v>
      </c>
      <c r="F229" s="9">
        <v>83</v>
      </c>
      <c r="G229" s="9">
        <v>894</v>
      </c>
      <c r="H229" s="5" t="s">
        <v>21</v>
      </c>
      <c r="I229" s="5" t="s">
        <v>676</v>
      </c>
      <c r="J229" s="12" t="str">
        <f>HYPERLINK("https://www.boe.es/gazeta/dias/1803/10/14/pdfs/GMD-1803-83.pdf#page=6","Abrir facsímil")</f>
        <v>Abrir facsímil</v>
      </c>
      <c r="K229" s="15" t="s">
        <v>23</v>
      </c>
    </row>
    <row r="230" spans="1:11" ht="42" customHeight="1">
      <c r="A230" s="4" t="s">
        <v>677</v>
      </c>
      <c r="B230" s="5" t="s">
        <v>678</v>
      </c>
      <c r="C230" s="5" t="s">
        <v>26</v>
      </c>
      <c r="D230" s="5" t="s">
        <v>27</v>
      </c>
      <c r="E230" s="5" t="s">
        <v>403</v>
      </c>
      <c r="F230" s="9">
        <v>91</v>
      </c>
      <c r="G230" s="9">
        <v>976</v>
      </c>
      <c r="H230" s="5" t="s">
        <v>21</v>
      </c>
      <c r="I230" s="5" t="s">
        <v>679</v>
      </c>
      <c r="J230" s="12" t="str">
        <f>HYPERLINK("https://www.boe.es/gazeta/dias/1803/11/11/pdfs/GMD-1803-91.pdf#page=8","Abrir facsímil")</f>
        <v>Abrir facsímil</v>
      </c>
      <c r="K230" s="15" t="s">
        <v>23</v>
      </c>
    </row>
    <row r="231" spans="1:11" ht="42" customHeight="1">
      <c r="A231" s="4" t="s">
        <v>680</v>
      </c>
      <c r="B231" s="5" t="s">
        <v>680</v>
      </c>
      <c r="C231" s="5" t="s">
        <v>80</v>
      </c>
      <c r="D231" s="5" t="s">
        <v>81</v>
      </c>
      <c r="E231" s="5" t="s">
        <v>124</v>
      </c>
      <c r="F231" s="9">
        <v>20</v>
      </c>
      <c r="G231" s="9">
        <v>211</v>
      </c>
      <c r="H231" s="5" t="s">
        <v>21</v>
      </c>
      <c r="I231" s="5" t="s">
        <v>681</v>
      </c>
      <c r="J231" s="12" t="str">
        <f>HYPERLINK("https://www.boe.es/gazeta/dias/1803/03/11/pdfs/GMD-1803-20.pdf#page=7","Abrir facsímil")</f>
        <v>Abrir facsímil</v>
      </c>
      <c r="K231" s="15" t="s">
        <v>23</v>
      </c>
    </row>
    <row r="232" spans="1:11" ht="42" customHeight="1">
      <c r="A232" s="4" t="s">
        <v>680</v>
      </c>
      <c r="B232" s="5" t="s">
        <v>680</v>
      </c>
      <c r="C232" s="5" t="s">
        <v>80</v>
      </c>
      <c r="D232" s="5" t="s">
        <v>81</v>
      </c>
      <c r="E232" s="5" t="s">
        <v>174</v>
      </c>
      <c r="F232" s="9">
        <v>21</v>
      </c>
      <c r="G232" s="9">
        <v>227</v>
      </c>
      <c r="H232" s="5" t="s">
        <v>21</v>
      </c>
      <c r="I232" s="5" t="s">
        <v>682</v>
      </c>
      <c r="J232" s="12" t="str">
        <f>HYPERLINK("https://www.boe.es/gazeta/dias/1803/03/15/pdfs/GMD-1803-21.pdf#page=11","Abrir facsímil")</f>
        <v>Abrir facsímil</v>
      </c>
      <c r="K232" s="15" t="s">
        <v>23</v>
      </c>
    </row>
    <row r="233" spans="1:11" ht="42" customHeight="1">
      <c r="A233" s="4" t="s">
        <v>683</v>
      </c>
      <c r="B233" s="5" t="s">
        <v>684</v>
      </c>
      <c r="C233" s="5" t="s">
        <v>26</v>
      </c>
      <c r="D233" s="5" t="s">
        <v>27</v>
      </c>
      <c r="E233" s="5" t="s">
        <v>71</v>
      </c>
      <c r="F233" s="9">
        <v>39</v>
      </c>
      <c r="G233" s="9">
        <v>413</v>
      </c>
      <c r="H233" s="5" t="s">
        <v>21</v>
      </c>
      <c r="I233" s="5" t="s">
        <v>685</v>
      </c>
      <c r="J233" s="12" t="str">
        <f>HYPERLINK("https://www.boe.es/gazeta/dias/1803/05/17/pdfs/GMD-1803-39.pdf#page=9","Abrir facsímil")</f>
        <v>Abrir facsímil</v>
      </c>
      <c r="K233" s="15" t="s">
        <v>23</v>
      </c>
    </row>
    <row r="234" spans="1:11" ht="42" customHeight="1">
      <c r="A234" s="4" t="s">
        <v>686</v>
      </c>
      <c r="B234" s="5" t="s">
        <v>687</v>
      </c>
      <c r="C234" s="5" t="s">
        <v>26</v>
      </c>
      <c r="D234" s="5" t="s">
        <v>27</v>
      </c>
      <c r="E234" s="5" t="s">
        <v>88</v>
      </c>
      <c r="F234" s="9">
        <v>18</v>
      </c>
      <c r="G234" s="9">
        <v>188</v>
      </c>
      <c r="H234" s="5" t="s">
        <v>21</v>
      </c>
      <c r="I234" s="5" t="s">
        <v>688</v>
      </c>
      <c r="J234" s="12" t="str">
        <f>HYPERLINK("https://www.boe.es/gazeta/dias/1803/03/04/pdfs/GMD-1803-18.pdf#page=8","Abrir facsímil")</f>
        <v>Abrir facsímil</v>
      </c>
      <c r="K234" s="15" t="s">
        <v>23</v>
      </c>
    </row>
    <row r="235" spans="1:11" ht="42" customHeight="1">
      <c r="A235" s="4" t="s">
        <v>689</v>
      </c>
      <c r="B235" s="5" t="s">
        <v>690</v>
      </c>
      <c r="C235" s="5" t="s">
        <v>26</v>
      </c>
      <c r="D235" s="5" t="s">
        <v>27</v>
      </c>
      <c r="E235" s="5" t="s">
        <v>203</v>
      </c>
      <c r="F235" s="9">
        <v>32</v>
      </c>
      <c r="G235" s="9">
        <v>337</v>
      </c>
      <c r="H235" s="5" t="s">
        <v>21</v>
      </c>
      <c r="I235" s="5" t="s">
        <v>691</v>
      </c>
      <c r="J235" s="12" t="str">
        <f>HYPERLINK("https://www.boe.es/gazeta/dias/1803/04/22/pdfs/GMD-1803-32.pdf#page=9","Abrir facsímil")</f>
        <v>Abrir facsímil</v>
      </c>
      <c r="K235" s="15" t="s">
        <v>23</v>
      </c>
    </row>
    <row r="236" spans="1:11" ht="42" customHeight="1">
      <c r="A236" s="4" t="s">
        <v>692</v>
      </c>
      <c r="B236" s="5" t="s">
        <v>693</v>
      </c>
      <c r="C236" s="5" t="s">
        <v>51</v>
      </c>
      <c r="D236" s="5" t="s">
        <v>52</v>
      </c>
      <c r="E236" s="5" t="s">
        <v>496</v>
      </c>
      <c r="F236" s="9">
        <v>90</v>
      </c>
      <c r="G236" s="9">
        <v>966</v>
      </c>
      <c r="H236" s="5" t="s">
        <v>21</v>
      </c>
      <c r="I236" s="5" t="s">
        <v>694</v>
      </c>
      <c r="J236" s="12" t="str">
        <f>HYPERLINK("https://www.boe.es/gazeta/dias/1803/11/08/pdfs/GMD-1803-90.pdf#page=6","Abrir facsímil")</f>
        <v>Abrir facsímil</v>
      </c>
      <c r="K236" s="15" t="s">
        <v>23</v>
      </c>
    </row>
    <row r="237" spans="1:11" ht="42" customHeight="1">
      <c r="A237" s="4" t="s">
        <v>695</v>
      </c>
      <c r="B237" s="5" t="s">
        <v>696</v>
      </c>
      <c r="C237" s="5" t="s">
        <v>26</v>
      </c>
      <c r="D237" s="5" t="s">
        <v>27</v>
      </c>
      <c r="E237" s="5" t="s">
        <v>630</v>
      </c>
      <c r="F237" s="9">
        <v>85</v>
      </c>
      <c r="G237" s="9">
        <v>917</v>
      </c>
      <c r="H237" s="5" t="s">
        <v>21</v>
      </c>
      <c r="I237" s="5" t="s">
        <v>697</v>
      </c>
      <c r="J237" s="12" t="str">
        <f>HYPERLINK("https://www.boe.es/gazeta/dias/1803/10/21/pdfs/GMD-1803-85.pdf#page=9","Abrir facsímil")</f>
        <v>Abrir facsímil</v>
      </c>
      <c r="K237" s="15" t="s">
        <v>23</v>
      </c>
    </row>
    <row r="238" spans="1:11" ht="42" customHeight="1">
      <c r="A238" s="4" t="s">
        <v>698</v>
      </c>
      <c r="B238" s="5" t="s">
        <v>699</v>
      </c>
      <c r="C238" s="5" t="s">
        <v>18</v>
      </c>
      <c r="D238" s="5" t="s">
        <v>19</v>
      </c>
      <c r="E238" s="5" t="s">
        <v>53</v>
      </c>
      <c r="F238" s="9">
        <v>99</v>
      </c>
      <c r="G238" s="9">
        <v>1062</v>
      </c>
      <c r="H238" s="5" t="s">
        <v>21</v>
      </c>
      <c r="I238" s="5" t="s">
        <v>700</v>
      </c>
      <c r="J238" s="12" t="str">
        <f>HYPERLINK("https://www.boe.es/gazeta/dias/1803/12/09/pdfs/GMD-1803-99.pdf#page=10","Abrir facsímil")</f>
        <v>Abrir facsímil</v>
      </c>
      <c r="K238" s="15" t="s">
        <v>23</v>
      </c>
    </row>
    <row r="239" spans="1:11" ht="42" customHeight="1">
      <c r="A239" s="4" t="s">
        <v>701</v>
      </c>
      <c r="B239" s="5" t="s">
        <v>702</v>
      </c>
      <c r="C239" s="5" t="s">
        <v>26</v>
      </c>
      <c r="D239" s="5" t="s">
        <v>27</v>
      </c>
      <c r="E239" s="5" t="s">
        <v>657</v>
      </c>
      <c r="F239" s="9">
        <v>24</v>
      </c>
      <c r="G239" s="9">
        <v>256</v>
      </c>
      <c r="H239" s="5" t="s">
        <v>21</v>
      </c>
      <c r="I239" s="5" t="s">
        <v>703</v>
      </c>
      <c r="J239" s="12" t="str">
        <f>HYPERLINK("https://www.boe.es/gazeta/dias/1803/03/25/pdfs/GMD-1803-24.pdf#page=8","Abrir facsímil")</f>
        <v>Abrir facsímil</v>
      </c>
      <c r="K239" s="15" t="s">
        <v>23</v>
      </c>
    </row>
    <row r="240" spans="1:11" ht="42" customHeight="1">
      <c r="A240" s="4" t="s">
        <v>704</v>
      </c>
      <c r="B240" s="5" t="s">
        <v>705</v>
      </c>
      <c r="C240" s="5" t="s">
        <v>80</v>
      </c>
      <c r="D240" s="5" t="s">
        <v>81</v>
      </c>
      <c r="E240" s="5" t="s">
        <v>509</v>
      </c>
      <c r="F240" s="9">
        <v>6</v>
      </c>
      <c r="G240" s="9">
        <v>56</v>
      </c>
      <c r="H240" s="5" t="s">
        <v>21</v>
      </c>
      <c r="I240" s="5" t="s">
        <v>706</v>
      </c>
      <c r="J240" s="12" t="str">
        <f>HYPERLINK("https://www.boe.es/gazeta/dias/1803/01/21/pdfs/GMD-1803-6.pdf#page=8","Abrir facsímil")</f>
        <v>Abrir facsímil</v>
      </c>
      <c r="K240" s="15" t="s">
        <v>23</v>
      </c>
    </row>
    <row r="241" spans="1:11" ht="42" customHeight="1">
      <c r="A241" s="4" t="s">
        <v>707</v>
      </c>
      <c r="B241" s="5" t="s">
        <v>708</v>
      </c>
      <c r="C241" s="5" t="s">
        <v>26</v>
      </c>
      <c r="D241" s="5" t="s">
        <v>27</v>
      </c>
      <c r="E241" s="5" t="s">
        <v>336</v>
      </c>
      <c r="F241" s="9">
        <v>105</v>
      </c>
      <c r="G241" s="9">
        <v>1122</v>
      </c>
      <c r="H241" s="5" t="s">
        <v>21</v>
      </c>
      <c r="I241" s="5" t="s">
        <v>709</v>
      </c>
      <c r="J241" s="12" t="str">
        <f>HYPERLINK("https://www.boe.es/gazeta/dias/1803/12/30/pdfs/GMD-1803-105.pdf#page=6","Abrir facsímil")</f>
        <v>Abrir facsímil</v>
      </c>
      <c r="K241" s="15" t="s">
        <v>23</v>
      </c>
    </row>
    <row r="242" spans="1:11" ht="42" customHeight="1">
      <c r="A242" s="4" t="s">
        <v>710</v>
      </c>
      <c r="B242" s="5" t="s">
        <v>711</v>
      </c>
      <c r="C242" s="5" t="s">
        <v>26</v>
      </c>
      <c r="D242" s="5" t="s">
        <v>27</v>
      </c>
      <c r="E242" s="5" t="s">
        <v>152</v>
      </c>
      <c r="F242" s="9">
        <v>16</v>
      </c>
      <c r="G242" s="9">
        <v>166</v>
      </c>
      <c r="H242" s="5" t="s">
        <v>21</v>
      </c>
      <c r="I242" s="5" t="s">
        <v>712</v>
      </c>
      <c r="J242" s="12" t="str">
        <f>HYPERLINK("https://www.boe.es/gazeta/dias/1803/02/25/pdfs/GMD-1803-16.pdf#page=6","Abrir facsímil")</f>
        <v>Abrir facsímil</v>
      </c>
      <c r="K242" s="15" t="s">
        <v>23</v>
      </c>
    </row>
    <row r="243" spans="1:11" ht="42" customHeight="1">
      <c r="A243" s="4" t="s">
        <v>713</v>
      </c>
      <c r="B243" s="5" t="s">
        <v>714</v>
      </c>
      <c r="C243" s="5" t="s">
        <v>26</v>
      </c>
      <c r="D243" s="5" t="s">
        <v>27</v>
      </c>
      <c r="E243" s="5" t="s">
        <v>64</v>
      </c>
      <c r="F243" s="9">
        <v>65</v>
      </c>
      <c r="G243" s="9">
        <v>705</v>
      </c>
      <c r="H243" s="5" t="s">
        <v>21</v>
      </c>
      <c r="I243" s="5" t="s">
        <v>715</v>
      </c>
      <c r="J243" s="12" t="str">
        <f>HYPERLINK("https://www.boe.es/gazeta/dias/1803/08/16/pdfs/GMD-1803-65.pdf#page=5","Abrir facsímil")</f>
        <v>Abrir facsímil</v>
      </c>
      <c r="K243" s="15" t="s">
        <v>23</v>
      </c>
    </row>
    <row r="244" spans="1:11" ht="42" customHeight="1">
      <c r="A244" s="4" t="s">
        <v>716</v>
      </c>
      <c r="B244" s="5" t="s">
        <v>717</v>
      </c>
      <c r="C244" s="5" t="s">
        <v>18</v>
      </c>
      <c r="D244" s="5" t="s">
        <v>19</v>
      </c>
      <c r="E244" s="5" t="s">
        <v>395</v>
      </c>
      <c r="F244" s="9">
        <v>13</v>
      </c>
      <c r="G244" s="9">
        <v>133</v>
      </c>
      <c r="H244" s="5" t="s">
        <v>21</v>
      </c>
      <c r="I244" s="5" t="s">
        <v>718</v>
      </c>
      <c r="J244" s="12" t="str">
        <f>HYPERLINK("https://www.boe.es/gazeta/dias/1803/02/15/pdfs/GMD-1803-13.pdf#page=9","Abrir facsímil")</f>
        <v>Abrir facsímil</v>
      </c>
      <c r="K244" s="15" t="s">
        <v>23</v>
      </c>
    </row>
    <row r="245" spans="1:11" ht="42" customHeight="1">
      <c r="A245" s="4" t="s">
        <v>719</v>
      </c>
      <c r="B245" s="5" t="s">
        <v>720</v>
      </c>
      <c r="C245" s="5" t="s">
        <v>26</v>
      </c>
      <c r="D245" s="5" t="s">
        <v>27</v>
      </c>
      <c r="E245" s="5" t="s">
        <v>313</v>
      </c>
      <c r="F245" s="9">
        <v>14</v>
      </c>
      <c r="G245" s="9">
        <v>143</v>
      </c>
      <c r="H245" s="5" t="s">
        <v>21</v>
      </c>
      <c r="I245" s="5" t="s">
        <v>721</v>
      </c>
      <c r="J245" s="12" t="str">
        <f>HYPERLINK("https://www.boe.es/gazeta/dias/1803/02/18/pdfs/GMD-1803-14.pdf#page=7","Abrir facsímil")</f>
        <v>Abrir facsímil</v>
      </c>
      <c r="K245" s="15" t="s">
        <v>23</v>
      </c>
    </row>
    <row r="246" spans="1:11" ht="42" customHeight="1">
      <c r="A246" s="4" t="s">
        <v>722</v>
      </c>
      <c r="B246" s="5" t="s">
        <v>723</v>
      </c>
      <c r="C246" s="5" t="s">
        <v>46</v>
      </c>
      <c r="D246" s="5" t="s">
        <v>19</v>
      </c>
      <c r="E246" s="5" t="s">
        <v>285</v>
      </c>
      <c r="F246" s="9">
        <v>5</v>
      </c>
      <c r="G246" s="9">
        <v>46</v>
      </c>
      <c r="H246" s="5" t="s">
        <v>21</v>
      </c>
      <c r="I246" s="5" t="s">
        <v>724</v>
      </c>
      <c r="J246" s="12" t="str">
        <f>HYPERLINK("https://www.boe.es/gazeta/dias/1803/01/18/pdfs/GMD-1803-5.pdf#page=10","Abrir facsímil")</f>
        <v>Abrir facsímil</v>
      </c>
      <c r="K246" s="15" t="s">
        <v>23</v>
      </c>
    </row>
    <row r="247" spans="1:11" ht="42" customHeight="1">
      <c r="A247" s="4" t="s">
        <v>725</v>
      </c>
      <c r="B247" s="5" t="s">
        <v>725</v>
      </c>
      <c r="C247" s="5" t="s">
        <v>51</v>
      </c>
      <c r="D247" s="5" t="s">
        <v>52</v>
      </c>
      <c r="E247" s="5" t="s">
        <v>726</v>
      </c>
      <c r="F247" s="9">
        <v>78</v>
      </c>
      <c r="G247" s="9">
        <v>847</v>
      </c>
      <c r="H247" s="5" t="s">
        <v>21</v>
      </c>
      <c r="I247" s="5" t="s">
        <v>727</v>
      </c>
      <c r="J247" s="12" t="str">
        <f>HYPERLINK("https://www.boe.es/gazeta/dias/1803/09/27/pdfs/GMD-1803-78.pdf#page=11","Abrir facsímil")</f>
        <v>Abrir facsímil</v>
      </c>
      <c r="K247" s="15" t="s">
        <v>23</v>
      </c>
    </row>
    <row r="248" spans="1:11" ht="42" customHeight="1">
      <c r="A248" s="4" t="s">
        <v>728</v>
      </c>
      <c r="B248" s="5" t="s">
        <v>729</v>
      </c>
      <c r="C248" s="5" t="s">
        <v>51</v>
      </c>
      <c r="D248" s="5" t="s">
        <v>52</v>
      </c>
      <c r="E248" s="5" t="s">
        <v>657</v>
      </c>
      <c r="F248" s="9">
        <v>24</v>
      </c>
      <c r="G248" s="9">
        <v>259</v>
      </c>
      <c r="H248" s="5" t="s">
        <v>21</v>
      </c>
      <c r="I248" s="5" t="s">
        <v>730</v>
      </c>
      <c r="J248" s="12" t="str">
        <f>HYPERLINK("https://www.boe.es/gazeta/dias/1803/03/25/pdfs/GMD-1803-24.pdf#page=11","Abrir facsímil")</f>
        <v>Abrir facsímil</v>
      </c>
      <c r="K248" s="15" t="s">
        <v>23</v>
      </c>
    </row>
    <row r="249" spans="1:11" ht="42" customHeight="1">
      <c r="A249" s="4" t="s">
        <v>731</v>
      </c>
      <c r="B249" s="5" t="s">
        <v>732</v>
      </c>
      <c r="C249" s="5" t="s">
        <v>26</v>
      </c>
      <c r="D249" s="5" t="s">
        <v>27</v>
      </c>
      <c r="E249" s="5" t="s">
        <v>68</v>
      </c>
      <c r="F249" s="9">
        <v>23</v>
      </c>
      <c r="G249" s="9">
        <v>246</v>
      </c>
      <c r="H249" s="5" t="s">
        <v>21</v>
      </c>
      <c r="I249" s="5" t="s">
        <v>733</v>
      </c>
      <c r="J249" s="12" t="str">
        <f>HYPERLINK("https://www.boe.es/gazeta/dias/1803/03/22/pdfs/GMD-1803-23.pdf#page=6","Abrir facsímil")</f>
        <v>Abrir facsímil</v>
      </c>
      <c r="K249" s="15" t="s">
        <v>23</v>
      </c>
    </row>
    <row r="250" spans="1:11" ht="42" customHeight="1">
      <c r="A250" s="4" t="s">
        <v>734</v>
      </c>
      <c r="B250" s="5" t="s">
        <v>735</v>
      </c>
      <c r="C250" s="5" t="s">
        <v>18</v>
      </c>
      <c r="D250" s="5" t="s">
        <v>19</v>
      </c>
      <c r="E250" s="5" t="s">
        <v>109</v>
      </c>
      <c r="F250" s="9">
        <v>102</v>
      </c>
      <c r="G250" s="9">
        <v>1097</v>
      </c>
      <c r="H250" s="5" t="s">
        <v>21</v>
      </c>
      <c r="I250" s="5" t="s">
        <v>736</v>
      </c>
      <c r="J250" s="12" t="str">
        <f>HYPERLINK("https://www.boe.es/gazeta/dias/1803/12/20/pdfs/GMD-1803-102.pdf#page=9","Abrir facsímil")</f>
        <v>Abrir facsímil</v>
      </c>
      <c r="K250" s="15" t="s">
        <v>23</v>
      </c>
    </row>
    <row r="251" spans="1:11" ht="42" customHeight="1">
      <c r="A251" s="4" t="s">
        <v>737</v>
      </c>
      <c r="B251" s="5" t="s">
        <v>738</v>
      </c>
      <c r="C251" s="5" t="s">
        <v>26</v>
      </c>
      <c r="D251" s="5" t="s">
        <v>27</v>
      </c>
      <c r="E251" s="5" t="s">
        <v>32</v>
      </c>
      <c r="F251" s="9">
        <v>74</v>
      </c>
      <c r="G251" s="9">
        <v>802</v>
      </c>
      <c r="H251" s="5" t="s">
        <v>21</v>
      </c>
      <c r="I251" s="5" t="s">
        <v>739</v>
      </c>
      <c r="J251" s="12" t="str">
        <f>HYPERLINK("https://www.boe.es/gazeta/dias/1803/09/13/pdfs/GMD-1803-74.pdf#page=6","Abrir facsímil")</f>
        <v>Abrir facsímil</v>
      </c>
      <c r="K251" s="15" t="s">
        <v>23</v>
      </c>
    </row>
    <row r="252" spans="1:11" ht="42" customHeight="1">
      <c r="A252" s="4" t="s">
        <v>740</v>
      </c>
      <c r="B252" s="5" t="s">
        <v>741</v>
      </c>
      <c r="C252" s="5" t="s">
        <v>26</v>
      </c>
      <c r="D252" s="5" t="s">
        <v>27</v>
      </c>
      <c r="E252" s="5" t="s">
        <v>514</v>
      </c>
      <c r="F252" s="9">
        <v>42</v>
      </c>
      <c r="G252" s="9">
        <v>439</v>
      </c>
      <c r="H252" s="5" t="s">
        <v>21</v>
      </c>
      <c r="I252" s="5" t="s">
        <v>742</v>
      </c>
      <c r="J252" s="12" t="str">
        <f>HYPERLINK("https://www.boe.es/gazeta/dias/1803/05/27/pdfs/GMD-1803-42.pdf#page=7","Abrir facsímil")</f>
        <v>Abrir facsímil</v>
      </c>
      <c r="K252" s="15" t="s">
        <v>23</v>
      </c>
    </row>
    <row r="253" spans="1:11" ht="42" customHeight="1">
      <c r="A253" s="4" t="s">
        <v>743</v>
      </c>
      <c r="B253" s="5" t="s">
        <v>744</v>
      </c>
      <c r="C253" s="5" t="s">
        <v>51</v>
      </c>
      <c r="D253" s="5" t="s">
        <v>52</v>
      </c>
      <c r="E253" s="5" t="s">
        <v>496</v>
      </c>
      <c r="F253" s="9">
        <v>90</v>
      </c>
      <c r="G253" s="9">
        <v>966</v>
      </c>
      <c r="H253" s="5" t="s">
        <v>21</v>
      </c>
      <c r="I253" s="5" t="s">
        <v>745</v>
      </c>
      <c r="J253" s="12" t="str">
        <f>HYPERLINK("https://www.boe.es/gazeta/dias/1803/11/08/pdfs/GMD-1803-90.pdf#page=6","Abrir facsímil")</f>
        <v>Abrir facsímil</v>
      </c>
      <c r="K253" s="15" t="s">
        <v>23</v>
      </c>
    </row>
    <row r="254" spans="1:11" ht="42" customHeight="1">
      <c r="A254" s="4" t="s">
        <v>746</v>
      </c>
      <c r="B254" s="5" t="s">
        <v>746</v>
      </c>
      <c r="C254" s="5" t="s">
        <v>18</v>
      </c>
      <c r="D254" s="5" t="s">
        <v>19</v>
      </c>
      <c r="E254" s="5" t="s">
        <v>109</v>
      </c>
      <c r="F254" s="9">
        <v>102</v>
      </c>
      <c r="G254" s="9">
        <v>1097</v>
      </c>
      <c r="H254" s="5" t="s">
        <v>21</v>
      </c>
      <c r="I254" s="5" t="s">
        <v>747</v>
      </c>
      <c r="J254" s="12" t="str">
        <f>HYPERLINK("https://www.boe.es/gazeta/dias/1803/12/20/pdfs/GMD-1803-102.pdf#page=9","Abrir facsímil")</f>
        <v>Abrir facsímil</v>
      </c>
      <c r="K254" s="15" t="s">
        <v>23</v>
      </c>
    </row>
    <row r="255" spans="1:11" ht="42" customHeight="1">
      <c r="A255" s="4" t="s">
        <v>748</v>
      </c>
      <c r="B255" s="5" t="s">
        <v>748</v>
      </c>
      <c r="C255" s="5" t="s">
        <v>26</v>
      </c>
      <c r="D255" s="5" t="s">
        <v>27</v>
      </c>
      <c r="E255" s="5" t="s">
        <v>571</v>
      </c>
      <c r="F255" s="9">
        <v>103</v>
      </c>
      <c r="G255" s="9">
        <v>1105</v>
      </c>
      <c r="H255" s="5" t="s">
        <v>21</v>
      </c>
      <c r="I255" s="5" t="s">
        <v>749</v>
      </c>
      <c r="J255" s="12" t="str">
        <f>HYPERLINK("https://www.boe.es/gazeta/dias/1803/12/23/pdfs/GMD-1803-103.pdf#page=5","Abrir facsímil")</f>
        <v>Abrir facsímil</v>
      </c>
      <c r="K255" s="15" t="s">
        <v>23</v>
      </c>
    </row>
    <row r="256" spans="1:11" ht="42" customHeight="1">
      <c r="A256" s="4" t="s">
        <v>750</v>
      </c>
      <c r="B256" s="5" t="s">
        <v>751</v>
      </c>
      <c r="C256" s="5" t="s">
        <v>80</v>
      </c>
      <c r="D256" s="5" t="s">
        <v>81</v>
      </c>
      <c r="E256" s="5" t="s">
        <v>752</v>
      </c>
      <c r="F256" s="9">
        <v>30</v>
      </c>
      <c r="G256" s="9">
        <v>320</v>
      </c>
      <c r="H256" s="5" t="s">
        <v>21</v>
      </c>
      <c r="I256" s="5" t="s">
        <v>753</v>
      </c>
      <c r="J256" s="12" t="str">
        <f>HYPERLINK("https://www.boe.es/gazeta/dias/1803/04/15/pdfs/GMD-1803-30.pdf#page=8","Abrir facsímil")</f>
        <v>Abrir facsímil</v>
      </c>
      <c r="K256" s="15" t="s">
        <v>23</v>
      </c>
    </row>
    <row r="257" spans="1:11" ht="42" customHeight="1">
      <c r="A257" s="4" t="s">
        <v>754</v>
      </c>
      <c r="B257" s="5" t="s">
        <v>754</v>
      </c>
      <c r="C257" s="5" t="s">
        <v>40</v>
      </c>
      <c r="D257" s="5" t="s">
        <v>41</v>
      </c>
      <c r="E257" s="5" t="s">
        <v>619</v>
      </c>
      <c r="F257" s="9">
        <v>53</v>
      </c>
      <c r="G257" s="9">
        <v>570</v>
      </c>
      <c r="H257" s="5" t="s">
        <v>21</v>
      </c>
      <c r="I257" s="5" t="s">
        <v>755</v>
      </c>
      <c r="J257" s="12" t="str">
        <f>HYPERLINK("https://www.boe.es/gazeta/dias/1803/07/05/pdfs/GMD-1803-53.pdf#page=2","Abrir facsímil")</f>
        <v>Abrir facsímil</v>
      </c>
      <c r="K257" s="15" t="s">
        <v>23</v>
      </c>
    </row>
    <row r="258" spans="1:11" ht="42" customHeight="1">
      <c r="A258" s="4" t="s">
        <v>756</v>
      </c>
      <c r="B258" s="5" t="s">
        <v>756</v>
      </c>
      <c r="C258" s="5" t="s">
        <v>26</v>
      </c>
      <c r="D258" s="5" t="s">
        <v>27</v>
      </c>
      <c r="E258" s="5" t="s">
        <v>68</v>
      </c>
      <c r="F258" s="9">
        <v>23</v>
      </c>
      <c r="G258" s="9">
        <v>242</v>
      </c>
      <c r="H258" s="5" t="s">
        <v>21</v>
      </c>
      <c r="I258" s="5" t="s">
        <v>757</v>
      </c>
      <c r="J258" s="12" t="str">
        <f>HYPERLINK("https://www.boe.es/gazeta/dias/1803/03/22/pdfs/GMD-1803-23.pdf#page=2","Abrir facsímil")</f>
        <v>Abrir facsímil</v>
      </c>
      <c r="K258" s="15" t="s">
        <v>23</v>
      </c>
    </row>
    <row r="259" spans="1:11" ht="42" customHeight="1">
      <c r="A259" s="4" t="s">
        <v>758</v>
      </c>
      <c r="B259" s="5" t="s">
        <v>758</v>
      </c>
      <c r="C259" s="5" t="s">
        <v>40</v>
      </c>
      <c r="D259" s="5" t="s">
        <v>41</v>
      </c>
      <c r="E259" s="5" t="s">
        <v>68</v>
      </c>
      <c r="F259" s="9">
        <v>23</v>
      </c>
      <c r="G259" s="9">
        <v>243</v>
      </c>
      <c r="H259" s="5" t="s">
        <v>21</v>
      </c>
      <c r="I259" s="5" t="s">
        <v>759</v>
      </c>
      <c r="J259" s="12" t="str">
        <f>HYPERLINK("https://www.boe.es/gazeta/dias/1803/03/22/pdfs/GMD-1803-23.pdf#page=3","Abrir facsímil")</f>
        <v>Abrir facsímil</v>
      </c>
      <c r="K259" s="15" t="s">
        <v>23</v>
      </c>
    </row>
    <row r="260" spans="1:11" ht="42" customHeight="1">
      <c r="A260" s="4" t="s">
        <v>760</v>
      </c>
      <c r="B260" s="5" t="s">
        <v>760</v>
      </c>
      <c r="C260" s="5" t="s">
        <v>51</v>
      </c>
      <c r="D260" s="5" t="s">
        <v>52</v>
      </c>
      <c r="E260" s="5" t="s">
        <v>256</v>
      </c>
      <c r="F260" s="9">
        <v>1</v>
      </c>
      <c r="G260" s="9">
        <v>5</v>
      </c>
      <c r="H260" s="5" t="s">
        <v>21</v>
      </c>
      <c r="I260" s="5" t="s">
        <v>761</v>
      </c>
      <c r="J260" s="12" t="str">
        <f>HYPERLINK("https://www.boe.es/gazeta/dias/1803/01/04/pdfs/GMD-1803-1.pdf#page=5","Abrir facsímil")</f>
        <v>Abrir facsímil</v>
      </c>
      <c r="K260" s="15" t="s">
        <v>23</v>
      </c>
    </row>
    <row r="261" spans="1:11" ht="42" customHeight="1">
      <c r="A261" s="4" t="s">
        <v>762</v>
      </c>
      <c r="B261" s="5" t="s">
        <v>763</v>
      </c>
      <c r="C261" s="5" t="s">
        <v>80</v>
      </c>
      <c r="D261" s="5" t="s">
        <v>81</v>
      </c>
      <c r="E261" s="5" t="s">
        <v>752</v>
      </c>
      <c r="F261" s="9">
        <v>30</v>
      </c>
      <c r="G261" s="9">
        <v>313</v>
      </c>
      <c r="H261" s="5" t="s">
        <v>21</v>
      </c>
      <c r="I261" s="5" t="s">
        <v>764</v>
      </c>
      <c r="J261" s="12" t="str">
        <f>HYPERLINK("https://www.boe.es/gazeta/dias/1803/04/15/pdfs/GMD-1803-30.pdf#page=1","Abrir facsímil")</f>
        <v>Abrir facsímil</v>
      </c>
      <c r="K261" s="15" t="s">
        <v>23</v>
      </c>
    </row>
    <row r="262" spans="1:11" ht="42" customHeight="1">
      <c r="A262" s="4" t="s">
        <v>765</v>
      </c>
      <c r="B262" s="5" t="s">
        <v>766</v>
      </c>
      <c r="C262" s="5" t="s">
        <v>18</v>
      </c>
      <c r="D262" s="5" t="s">
        <v>19</v>
      </c>
      <c r="E262" s="5" t="s">
        <v>403</v>
      </c>
      <c r="F262" s="9">
        <v>91</v>
      </c>
      <c r="G262" s="9">
        <v>976</v>
      </c>
      <c r="H262" s="5" t="s">
        <v>21</v>
      </c>
      <c r="I262" s="5" t="s">
        <v>767</v>
      </c>
      <c r="J262" s="12" t="str">
        <f>HYPERLINK("https://www.boe.es/gazeta/dias/1803/11/11/pdfs/GMD-1803-91.pdf#page=8","Abrir facsímil")</f>
        <v>Abrir facsímil</v>
      </c>
      <c r="K262" s="15" t="s">
        <v>23</v>
      </c>
    </row>
    <row r="263" spans="1:11" ht="42" customHeight="1">
      <c r="A263" s="4" t="s">
        <v>768</v>
      </c>
      <c r="B263" s="5" t="s">
        <v>768</v>
      </c>
      <c r="C263" s="5" t="s">
        <v>51</v>
      </c>
      <c r="D263" s="5" t="s">
        <v>52</v>
      </c>
      <c r="E263" s="5" t="s">
        <v>88</v>
      </c>
      <c r="F263" s="9">
        <v>18</v>
      </c>
      <c r="G263" s="9">
        <v>191</v>
      </c>
      <c r="H263" s="5" t="s">
        <v>21</v>
      </c>
      <c r="I263" s="5" t="s">
        <v>769</v>
      </c>
      <c r="J263" s="12" t="str">
        <f>HYPERLINK("https://www.boe.es/gazeta/dias/1803/03/04/pdfs/GMD-1803-18.pdf#page=11","Abrir facsímil")</f>
        <v>Abrir facsímil</v>
      </c>
      <c r="K263" s="15" t="s">
        <v>23</v>
      </c>
    </row>
    <row r="264" spans="1:11" ht="42" customHeight="1">
      <c r="A264" s="4" t="s">
        <v>770</v>
      </c>
      <c r="B264" s="5" t="s">
        <v>771</v>
      </c>
      <c r="C264" s="5" t="s">
        <v>26</v>
      </c>
      <c r="D264" s="5" t="s">
        <v>27</v>
      </c>
      <c r="E264" s="5" t="s">
        <v>132</v>
      </c>
      <c r="F264" s="9">
        <v>58</v>
      </c>
      <c r="G264" s="9">
        <v>639</v>
      </c>
      <c r="H264" s="5" t="s">
        <v>21</v>
      </c>
      <c r="I264" s="5" t="s">
        <v>772</v>
      </c>
      <c r="J264" s="12" t="str">
        <f>HYPERLINK("https://www.boe.es/gazeta/dias/1803/07/22/pdfs/GMD-1803-58.pdf#page=11","Abrir facsímil")</f>
        <v>Abrir facsímil</v>
      </c>
      <c r="K264" s="15" t="s">
        <v>23</v>
      </c>
    </row>
    <row r="265" spans="1:11" ht="42" customHeight="1">
      <c r="A265" s="4" t="s">
        <v>770</v>
      </c>
      <c r="B265" s="5" t="s">
        <v>771</v>
      </c>
      <c r="C265" s="5" t="s">
        <v>26</v>
      </c>
      <c r="D265" s="5" t="s">
        <v>27</v>
      </c>
      <c r="E265" s="5" t="s">
        <v>32</v>
      </c>
      <c r="F265" s="9">
        <v>74</v>
      </c>
      <c r="G265" s="9">
        <v>803</v>
      </c>
      <c r="H265" s="5" t="s">
        <v>21</v>
      </c>
      <c r="I265" s="5" t="s">
        <v>773</v>
      </c>
      <c r="J265" s="12" t="str">
        <f>HYPERLINK("https://www.boe.es/gazeta/dias/1803/09/13/pdfs/GMD-1803-74.pdf#page=7","Abrir facsímil")</f>
        <v>Abrir facsímil</v>
      </c>
      <c r="K265" s="15" t="s">
        <v>23</v>
      </c>
    </row>
    <row r="266" spans="1:11" ht="42" customHeight="1">
      <c r="A266" s="4" t="s">
        <v>774</v>
      </c>
      <c r="B266" s="5" t="s">
        <v>775</v>
      </c>
      <c r="C266" s="5" t="s">
        <v>80</v>
      </c>
      <c r="D266" s="5" t="s">
        <v>81</v>
      </c>
      <c r="E266" s="5" t="s">
        <v>313</v>
      </c>
      <c r="F266" s="9">
        <v>14</v>
      </c>
      <c r="G266" s="9">
        <v>144</v>
      </c>
      <c r="H266" s="5" t="s">
        <v>21</v>
      </c>
      <c r="I266" s="5" t="s">
        <v>776</v>
      </c>
      <c r="J266" s="12" t="str">
        <f>HYPERLINK("https://www.boe.es/gazeta/dias/1803/02/18/pdfs/GMD-1803-14.pdf#page=8","Abrir facsímil")</f>
        <v>Abrir facsímil</v>
      </c>
      <c r="K266" s="15" t="s">
        <v>23</v>
      </c>
    </row>
    <row r="267" spans="1:11" ht="42" customHeight="1">
      <c r="A267" s="4" t="s">
        <v>777</v>
      </c>
      <c r="B267" s="5" t="s">
        <v>777</v>
      </c>
      <c r="C267" s="5" t="s">
        <v>40</v>
      </c>
      <c r="D267" s="5" t="s">
        <v>41</v>
      </c>
      <c r="E267" s="5" t="s">
        <v>75</v>
      </c>
      <c r="F267" s="9">
        <v>56</v>
      </c>
      <c r="G267" s="9">
        <v>608</v>
      </c>
      <c r="H267" s="5" t="s">
        <v>21</v>
      </c>
      <c r="I267" s="5" t="s">
        <v>778</v>
      </c>
      <c r="J267" s="12" t="str">
        <f>HYPERLINK("https://www.boe.es/gazeta/dias/1803/07/15/pdfs/GMD-1803-56.pdf#page=4","Abrir facsímil")</f>
        <v>Abrir facsímil</v>
      </c>
      <c r="K267" s="15" t="s">
        <v>23</v>
      </c>
    </row>
    <row r="268" spans="1:11" ht="42" customHeight="1">
      <c r="A268" s="4" t="s">
        <v>779</v>
      </c>
      <c r="B268" s="5" t="s">
        <v>780</v>
      </c>
      <c r="C268" s="5" t="s">
        <v>40</v>
      </c>
      <c r="D268" s="5" t="s">
        <v>41</v>
      </c>
      <c r="E268" s="5" t="s">
        <v>501</v>
      </c>
      <c r="F268" s="9">
        <v>22</v>
      </c>
      <c r="G268" s="9">
        <v>232</v>
      </c>
      <c r="H268" s="5" t="s">
        <v>21</v>
      </c>
      <c r="I268" s="5" t="s">
        <v>781</v>
      </c>
      <c r="J268" s="12" t="str">
        <f>HYPERLINK("https://www.boe.es/gazeta/dias/1803/03/18/pdfs/GMD-1803-22.pdf#page=4","Abrir facsímil")</f>
        <v>Abrir facsímil</v>
      </c>
      <c r="K268" s="15" t="s">
        <v>23</v>
      </c>
    </row>
    <row r="269" spans="1:11" ht="42" customHeight="1">
      <c r="A269" s="4" t="s">
        <v>782</v>
      </c>
      <c r="B269" s="5" t="s">
        <v>783</v>
      </c>
      <c r="C269" s="5" t="s">
        <v>26</v>
      </c>
      <c r="D269" s="5" t="s">
        <v>27</v>
      </c>
      <c r="E269" s="5" t="s">
        <v>784</v>
      </c>
      <c r="F269" s="9">
        <v>86</v>
      </c>
      <c r="G269" s="9">
        <v>926</v>
      </c>
      <c r="H269" s="5" t="s">
        <v>21</v>
      </c>
      <c r="I269" s="5" t="s">
        <v>785</v>
      </c>
      <c r="J269" s="12" t="str">
        <f>HYPERLINK("https://www.boe.es/gazeta/dias/1803/10/25/pdfs/GMD-1803-86.pdf#page=6","Abrir facsímil")</f>
        <v>Abrir facsímil</v>
      </c>
      <c r="K269" s="15" t="s">
        <v>23</v>
      </c>
    </row>
    <row r="270" spans="1:11" ht="42" customHeight="1">
      <c r="A270" s="4" t="s">
        <v>782</v>
      </c>
      <c r="B270" s="5" t="s">
        <v>783</v>
      </c>
      <c r="C270" s="5" t="s">
        <v>26</v>
      </c>
      <c r="D270" s="5" t="s">
        <v>27</v>
      </c>
      <c r="E270" s="5" t="s">
        <v>403</v>
      </c>
      <c r="F270" s="9">
        <v>91</v>
      </c>
      <c r="G270" s="9">
        <v>972</v>
      </c>
      <c r="H270" s="5" t="s">
        <v>21</v>
      </c>
      <c r="I270" s="5" t="s">
        <v>786</v>
      </c>
      <c r="J270" s="12" t="str">
        <f>HYPERLINK("https://www.boe.es/gazeta/dias/1803/11/11/pdfs/GMD-1803-91.pdf#page=4","Abrir facsímil")</f>
        <v>Abrir facsímil</v>
      </c>
      <c r="K270" s="15" t="s">
        <v>23</v>
      </c>
    </row>
    <row r="271" spans="1:11" ht="42" customHeight="1">
      <c r="A271" s="4" t="s">
        <v>787</v>
      </c>
      <c r="B271" s="5" t="s">
        <v>788</v>
      </c>
      <c r="C271" s="5" t="s">
        <v>80</v>
      </c>
      <c r="D271" s="5" t="s">
        <v>81</v>
      </c>
      <c r="E271" s="5" t="s">
        <v>231</v>
      </c>
      <c r="F271" s="9">
        <v>26</v>
      </c>
      <c r="G271" s="9">
        <v>284</v>
      </c>
      <c r="H271" s="5" t="s">
        <v>21</v>
      </c>
      <c r="I271" s="5" t="s">
        <v>789</v>
      </c>
      <c r="J271" s="12" t="str">
        <f>HYPERLINK("https://www.boe.es/gazeta/dias/1803/04/01/pdfs/GMD-1803-26.pdf#page=12","Abrir facsímil")</f>
        <v>Abrir facsímil</v>
      </c>
      <c r="K271" s="15" t="s">
        <v>23</v>
      </c>
    </row>
    <row r="272" spans="1:11" ht="42" customHeight="1">
      <c r="A272" s="4" t="s">
        <v>790</v>
      </c>
      <c r="B272" s="5" t="s">
        <v>791</v>
      </c>
      <c r="C272" s="5" t="s">
        <v>26</v>
      </c>
      <c r="D272" s="5" t="s">
        <v>27</v>
      </c>
      <c r="E272" s="5" t="s">
        <v>231</v>
      </c>
      <c r="F272" s="9">
        <v>26</v>
      </c>
      <c r="G272" s="9">
        <v>281</v>
      </c>
      <c r="H272" s="5" t="s">
        <v>21</v>
      </c>
      <c r="I272" s="5" t="s">
        <v>792</v>
      </c>
      <c r="J272" s="12" t="str">
        <f>HYPERLINK("https://www.boe.es/gazeta/dias/1803/04/01/pdfs/GMD-1803-26.pdf#page=9","Abrir facsímil")</f>
        <v>Abrir facsímil</v>
      </c>
      <c r="K272" s="15" t="s">
        <v>23</v>
      </c>
    </row>
    <row r="273" spans="1:11" ht="42" customHeight="1">
      <c r="A273" s="4" t="s">
        <v>793</v>
      </c>
      <c r="B273" s="5" t="s">
        <v>794</v>
      </c>
      <c r="C273" s="5" t="s">
        <v>26</v>
      </c>
      <c r="D273" s="5" t="s">
        <v>27</v>
      </c>
      <c r="E273" s="5" t="s">
        <v>795</v>
      </c>
      <c r="F273" s="9">
        <v>98</v>
      </c>
      <c r="G273" s="9">
        <v>1050</v>
      </c>
      <c r="H273" s="5" t="s">
        <v>21</v>
      </c>
      <c r="I273" s="5" t="s">
        <v>796</v>
      </c>
      <c r="J273" s="12" t="str">
        <f>HYPERLINK("https://www.boe.es/gazeta/dias/1803/12/06/pdfs/GMD-1803-98.pdf#page=6","Abrir facsímil")</f>
        <v>Abrir facsímil</v>
      </c>
      <c r="K273" s="15" t="s">
        <v>23</v>
      </c>
    </row>
    <row r="274" spans="1:11" ht="42" customHeight="1">
      <c r="A274" s="4" t="s">
        <v>797</v>
      </c>
      <c r="B274" s="5" t="s">
        <v>797</v>
      </c>
      <c r="C274" s="5" t="s">
        <v>40</v>
      </c>
      <c r="D274" s="5" t="s">
        <v>41</v>
      </c>
      <c r="E274" s="5" t="s">
        <v>261</v>
      </c>
      <c r="F274" s="9">
        <v>70</v>
      </c>
      <c r="G274" s="9">
        <v>763</v>
      </c>
      <c r="H274" s="5" t="s">
        <v>21</v>
      </c>
      <c r="I274" s="5" t="s">
        <v>798</v>
      </c>
      <c r="J274" s="12" t="str">
        <f>HYPERLINK("https://www.boe.es/gazeta/dias/1803/09/02/pdfs/GMD-1803-70.pdf#page=3","Abrir facsímil")</f>
        <v>Abrir facsímil</v>
      </c>
      <c r="K274" s="15" t="s">
        <v>23</v>
      </c>
    </row>
    <row r="275" spans="1:11" ht="42" customHeight="1">
      <c r="A275" s="4" t="s">
        <v>799</v>
      </c>
      <c r="B275" s="5" t="s">
        <v>800</v>
      </c>
      <c r="C275" s="5" t="s">
        <v>26</v>
      </c>
      <c r="D275" s="5" t="s">
        <v>27</v>
      </c>
      <c r="E275" s="5" t="s">
        <v>152</v>
      </c>
      <c r="F275" s="9">
        <v>16</v>
      </c>
      <c r="G275" s="9">
        <v>166</v>
      </c>
      <c r="H275" s="5" t="s">
        <v>21</v>
      </c>
      <c r="I275" s="5" t="s">
        <v>801</v>
      </c>
      <c r="J275" s="12" t="str">
        <f>HYPERLINK("https://www.boe.es/gazeta/dias/1803/02/25/pdfs/GMD-1803-16.pdf#page=6","Abrir facsímil")</f>
        <v>Abrir facsímil</v>
      </c>
      <c r="K275" s="15" t="s">
        <v>23</v>
      </c>
    </row>
    <row r="276" spans="1:11" ht="42" customHeight="1">
      <c r="A276" s="4" t="s">
        <v>802</v>
      </c>
      <c r="B276" s="5" t="s">
        <v>803</v>
      </c>
      <c r="C276" s="5" t="s">
        <v>40</v>
      </c>
      <c r="D276" s="5" t="s">
        <v>41</v>
      </c>
      <c r="E276" s="5" t="s">
        <v>256</v>
      </c>
      <c r="F276" s="9">
        <v>1</v>
      </c>
      <c r="G276" s="9">
        <v>2</v>
      </c>
      <c r="H276" s="5" t="s">
        <v>21</v>
      </c>
      <c r="I276" s="5" t="s">
        <v>804</v>
      </c>
      <c r="J276" s="12" t="str">
        <f>HYPERLINK("https://www.boe.es/gazeta/dias/1803/01/04/pdfs/GMD-1803-1.pdf#page=2","Abrir facsímil")</f>
        <v>Abrir facsímil</v>
      </c>
      <c r="K276" s="15" t="s">
        <v>23</v>
      </c>
    </row>
    <row r="277" spans="1:11" ht="42" customHeight="1">
      <c r="A277" s="4" t="s">
        <v>805</v>
      </c>
      <c r="B277" s="5" t="s">
        <v>806</v>
      </c>
      <c r="C277" s="5" t="s">
        <v>40</v>
      </c>
      <c r="D277" s="5" t="s">
        <v>41</v>
      </c>
      <c r="E277" s="5" t="s">
        <v>389</v>
      </c>
      <c r="F277" s="9">
        <v>41</v>
      </c>
      <c r="G277" s="9">
        <v>426</v>
      </c>
      <c r="H277" s="5" t="s">
        <v>21</v>
      </c>
      <c r="I277" s="5" t="s">
        <v>807</v>
      </c>
      <c r="J277" s="12" t="str">
        <f>HYPERLINK("https://www.boe.es/gazeta/dias/1803/05/24/pdfs/GMD-1803-41.pdf#page=2","Abrir facsímil")</f>
        <v>Abrir facsímil</v>
      </c>
      <c r="K277" s="15" t="s">
        <v>23</v>
      </c>
    </row>
    <row r="278" spans="1:11" ht="42" customHeight="1">
      <c r="A278" s="4" t="s">
        <v>808</v>
      </c>
      <c r="B278" s="5" t="s">
        <v>809</v>
      </c>
      <c r="C278" s="5" t="s">
        <v>80</v>
      </c>
      <c r="D278" s="5" t="s">
        <v>81</v>
      </c>
      <c r="E278" s="5" t="s">
        <v>321</v>
      </c>
      <c r="F278" s="9">
        <v>94</v>
      </c>
      <c r="G278" s="9">
        <v>1012</v>
      </c>
      <c r="H278" s="5" t="s">
        <v>21</v>
      </c>
      <c r="I278" s="5" t="s">
        <v>810</v>
      </c>
      <c r="J278" s="12" t="str">
        <f>HYPERLINK("https://www.boe.es/gazeta/dias/1803/11/22/pdfs/GMD-1803-94.pdf#page=12","Abrir facsímil")</f>
        <v>Abrir facsímil</v>
      </c>
      <c r="K278" s="15" t="s">
        <v>23</v>
      </c>
    </row>
    <row r="279" spans="1:11" ht="42" customHeight="1">
      <c r="A279" s="4" t="s">
        <v>811</v>
      </c>
      <c r="B279" s="5" t="s">
        <v>811</v>
      </c>
      <c r="C279" s="5" t="s">
        <v>40</v>
      </c>
      <c r="D279" s="5" t="s">
        <v>41</v>
      </c>
      <c r="E279" s="5" t="s">
        <v>361</v>
      </c>
      <c r="F279" s="9">
        <v>62</v>
      </c>
      <c r="G279" s="9">
        <v>673</v>
      </c>
      <c r="H279" s="5" t="s">
        <v>21</v>
      </c>
      <c r="I279" s="5" t="s">
        <v>812</v>
      </c>
      <c r="J279" s="12" t="str">
        <f>HYPERLINK("https://www.boe.es/gazeta/dias/1803/08/05/pdfs/GMD-1803-62.pdf#page=5","Abrir facsímil")</f>
        <v>Abrir facsímil</v>
      </c>
      <c r="K279" s="15" t="s">
        <v>23</v>
      </c>
    </row>
    <row r="280" spans="1:11" ht="42" customHeight="1">
      <c r="A280" s="4" t="s">
        <v>813</v>
      </c>
      <c r="B280" s="5" t="s">
        <v>814</v>
      </c>
      <c r="C280" s="5" t="s">
        <v>80</v>
      </c>
      <c r="D280" s="5" t="s">
        <v>81</v>
      </c>
      <c r="E280" s="5" t="s">
        <v>256</v>
      </c>
      <c r="F280" s="9">
        <v>1</v>
      </c>
      <c r="G280" s="9">
        <v>8</v>
      </c>
      <c r="H280" s="5" t="s">
        <v>21</v>
      </c>
      <c r="I280" s="5" t="s">
        <v>815</v>
      </c>
      <c r="J280" s="12" t="str">
        <f>HYPERLINK("https://www.boe.es/gazeta/dias/1803/01/04/pdfs/GMD-1803-1.pdf#page=8","Abrir facsímil")</f>
        <v>Abrir facsímil</v>
      </c>
      <c r="K280" s="15" t="s">
        <v>23</v>
      </c>
    </row>
    <row r="281" spans="1:11" ht="42" customHeight="1">
      <c r="A281" s="4" t="s">
        <v>813</v>
      </c>
      <c r="B281" s="5" t="s">
        <v>814</v>
      </c>
      <c r="C281" s="5" t="s">
        <v>26</v>
      </c>
      <c r="D281" s="5" t="s">
        <v>27</v>
      </c>
      <c r="E281" s="5" t="s">
        <v>117</v>
      </c>
      <c r="F281" s="9">
        <v>59</v>
      </c>
      <c r="G281" s="9">
        <v>647</v>
      </c>
      <c r="H281" s="5" t="s">
        <v>21</v>
      </c>
      <c r="I281" s="5" t="s">
        <v>816</v>
      </c>
      <c r="J281" s="12" t="str">
        <f>HYPERLINK("https://www.boe.es/gazeta/dias/1803/07/26/pdfs/GMD-1803-59.pdf#page=7","Abrir facsímil")</f>
        <v>Abrir facsímil</v>
      </c>
      <c r="K281" s="15" t="s">
        <v>23</v>
      </c>
    </row>
    <row r="282" spans="1:11" ht="42" customHeight="1">
      <c r="A282" s="4" t="s">
        <v>817</v>
      </c>
      <c r="B282" s="5" t="s">
        <v>818</v>
      </c>
      <c r="C282" s="5" t="s">
        <v>46</v>
      </c>
      <c r="D282" s="5" t="s">
        <v>19</v>
      </c>
      <c r="E282" s="5" t="s">
        <v>88</v>
      </c>
      <c r="F282" s="9">
        <v>18</v>
      </c>
      <c r="G282" s="9">
        <v>191</v>
      </c>
      <c r="H282" s="5" t="s">
        <v>21</v>
      </c>
      <c r="I282" s="5" t="s">
        <v>819</v>
      </c>
      <c r="J282" s="12" t="str">
        <f>HYPERLINK("https://www.boe.es/gazeta/dias/1803/03/04/pdfs/GMD-1803-18.pdf#page=11","Abrir facsímil")</f>
        <v>Abrir facsímil</v>
      </c>
      <c r="K282" s="15" t="s">
        <v>23</v>
      </c>
    </row>
    <row r="283" spans="1:11" ht="42" customHeight="1">
      <c r="A283" s="4" t="s">
        <v>820</v>
      </c>
      <c r="B283" s="5" t="s">
        <v>821</v>
      </c>
      <c r="C283" s="5" t="s">
        <v>51</v>
      </c>
      <c r="D283" s="5" t="s">
        <v>52</v>
      </c>
      <c r="E283" s="5" t="s">
        <v>261</v>
      </c>
      <c r="F283" s="9">
        <v>70</v>
      </c>
      <c r="G283" s="9">
        <v>767</v>
      </c>
      <c r="H283" s="5" t="s">
        <v>21</v>
      </c>
      <c r="I283" s="5" t="s">
        <v>822</v>
      </c>
      <c r="J283" s="12" t="str">
        <f>HYPERLINK("https://www.boe.es/gazeta/dias/1803/09/02/pdfs/GMD-1803-70.pdf#page=7","Abrir facsímil")</f>
        <v>Abrir facsímil</v>
      </c>
      <c r="K283" s="15" t="s">
        <v>23</v>
      </c>
    </row>
    <row r="284" spans="1:11" ht="42" customHeight="1">
      <c r="A284" s="4" t="s">
        <v>823</v>
      </c>
      <c r="B284" s="5" t="s">
        <v>824</v>
      </c>
      <c r="C284" s="5" t="s">
        <v>18</v>
      </c>
      <c r="D284" s="5" t="s">
        <v>19</v>
      </c>
      <c r="E284" s="5" t="s">
        <v>317</v>
      </c>
      <c r="F284" s="9">
        <v>12</v>
      </c>
      <c r="G284" s="9">
        <v>123</v>
      </c>
      <c r="H284" s="5" t="s">
        <v>21</v>
      </c>
      <c r="I284" s="5" t="s">
        <v>825</v>
      </c>
      <c r="J284" s="12" t="str">
        <f>HYPERLINK("https://www.boe.es/gazeta/dias/1803/02/11/pdfs/GMD-1803-12.pdf#page=11","Abrir facsímil")</f>
        <v>Abrir facsímil</v>
      </c>
      <c r="K284" s="15" t="s">
        <v>23</v>
      </c>
    </row>
    <row r="285" spans="1:11" ht="42" customHeight="1">
      <c r="A285" s="4" t="s">
        <v>826</v>
      </c>
      <c r="B285" s="5" t="s">
        <v>827</v>
      </c>
      <c r="C285" s="5" t="s">
        <v>40</v>
      </c>
      <c r="D285" s="5" t="s">
        <v>41</v>
      </c>
      <c r="E285" s="5" t="s">
        <v>53</v>
      </c>
      <c r="F285" s="9">
        <v>99</v>
      </c>
      <c r="G285" s="9">
        <v>1060</v>
      </c>
      <c r="H285" s="5" t="s">
        <v>21</v>
      </c>
      <c r="I285" s="5" t="s">
        <v>828</v>
      </c>
      <c r="J285" s="12" t="str">
        <f>HYPERLINK("https://www.boe.es/gazeta/dias/1803/12/09/pdfs/GMD-1803-99.pdf#page=8","Abrir facsímil")</f>
        <v>Abrir facsímil</v>
      </c>
      <c r="K285" s="15" t="s">
        <v>23</v>
      </c>
    </row>
    <row r="286" spans="1:11" ht="42" customHeight="1">
      <c r="A286" s="4" t="s">
        <v>829</v>
      </c>
      <c r="B286" s="5" t="s">
        <v>830</v>
      </c>
      <c r="C286" s="5" t="s">
        <v>18</v>
      </c>
      <c r="D286" s="5" t="s">
        <v>19</v>
      </c>
      <c r="E286" s="5" t="s">
        <v>317</v>
      </c>
      <c r="F286" s="9">
        <v>12</v>
      </c>
      <c r="G286" s="9">
        <v>123</v>
      </c>
      <c r="H286" s="5" t="s">
        <v>21</v>
      </c>
      <c r="I286" s="5" t="s">
        <v>831</v>
      </c>
      <c r="J286" s="12" t="str">
        <f>HYPERLINK("https://www.boe.es/gazeta/dias/1803/02/11/pdfs/GMD-1803-12.pdf#page=11","Abrir facsímil")</f>
        <v>Abrir facsímil</v>
      </c>
      <c r="K286" s="15" t="s">
        <v>23</v>
      </c>
    </row>
    <row r="287" spans="1:11" ht="42" customHeight="1">
      <c r="A287" s="4" t="s">
        <v>832</v>
      </c>
      <c r="B287" s="5" t="s">
        <v>833</v>
      </c>
      <c r="C287" s="5" t="s">
        <v>26</v>
      </c>
      <c r="D287" s="5" t="s">
        <v>27</v>
      </c>
      <c r="E287" s="5" t="s">
        <v>231</v>
      </c>
      <c r="F287" s="9">
        <v>26</v>
      </c>
      <c r="G287" s="9">
        <v>278</v>
      </c>
      <c r="H287" s="5" t="s">
        <v>21</v>
      </c>
      <c r="I287" s="5" t="s">
        <v>834</v>
      </c>
      <c r="J287" s="12" t="str">
        <f>HYPERLINK("https://www.boe.es/gazeta/dias/1803/04/01/pdfs/GMD-1803-26.pdf#page=6","Abrir facsímil")</f>
        <v>Abrir facsímil</v>
      </c>
      <c r="K287" s="15" t="s">
        <v>23</v>
      </c>
    </row>
    <row r="288" spans="1:11" ht="42" customHeight="1">
      <c r="A288" s="4" t="s">
        <v>835</v>
      </c>
      <c r="B288" s="5" t="s">
        <v>836</v>
      </c>
      <c r="C288" s="5" t="s">
        <v>46</v>
      </c>
      <c r="D288" s="5" t="s">
        <v>19</v>
      </c>
      <c r="E288" s="5" t="s">
        <v>250</v>
      </c>
      <c r="F288" s="9">
        <v>4</v>
      </c>
      <c r="G288" s="9">
        <v>35</v>
      </c>
      <c r="H288" s="5" t="s">
        <v>21</v>
      </c>
      <c r="I288" s="5" t="s">
        <v>837</v>
      </c>
      <c r="J288" s="12" t="str">
        <f>HYPERLINK("https://www.boe.es/gazeta/dias/1803/01/14/pdfs/GMD-1803-4.pdf#page=7","Abrir facsímil")</f>
        <v>Abrir facsímil</v>
      </c>
      <c r="K288" s="15" t="s">
        <v>23</v>
      </c>
    </row>
    <row r="289" spans="1:11" ht="42" customHeight="1">
      <c r="A289" s="4" t="s">
        <v>838</v>
      </c>
      <c r="B289" s="5" t="s">
        <v>839</v>
      </c>
      <c r="C289" s="5" t="s">
        <v>18</v>
      </c>
      <c r="D289" s="5" t="s">
        <v>19</v>
      </c>
      <c r="E289" s="5" t="s">
        <v>85</v>
      </c>
      <c r="F289" s="9">
        <v>49</v>
      </c>
      <c r="G289" s="9">
        <v>522</v>
      </c>
      <c r="H289" s="5" t="s">
        <v>21</v>
      </c>
      <c r="I289" s="5" t="s">
        <v>840</v>
      </c>
      <c r="J289" s="12" t="str">
        <f>HYPERLINK("https://www.boe.es/gazeta/dias/1803/06/21/pdfs/GMD-1803-49.pdf#page=10","Abrir facsímil")</f>
        <v>Abrir facsímil</v>
      </c>
      <c r="K289" s="15" t="s">
        <v>23</v>
      </c>
    </row>
    <row r="290" spans="1:11" ht="42" customHeight="1">
      <c r="A290" s="4" t="s">
        <v>841</v>
      </c>
      <c r="B290" s="5" t="s">
        <v>841</v>
      </c>
      <c r="C290" s="5" t="s">
        <v>26</v>
      </c>
      <c r="D290" s="5" t="s">
        <v>27</v>
      </c>
      <c r="E290" s="5" t="s">
        <v>256</v>
      </c>
      <c r="F290" s="9">
        <v>1</v>
      </c>
      <c r="G290" s="9">
        <v>6</v>
      </c>
      <c r="H290" s="5" t="s">
        <v>21</v>
      </c>
      <c r="I290" s="5" t="s">
        <v>842</v>
      </c>
      <c r="J290" s="12" t="str">
        <f>HYPERLINK("https://www.boe.es/gazeta/dias/1803/01/04/pdfs/GMD-1803-1.pdf#page=6","Abrir facsímil")</f>
        <v>Abrir facsímil</v>
      </c>
      <c r="K290" s="15" t="s">
        <v>23</v>
      </c>
    </row>
    <row r="291" spans="1:11" ht="42" customHeight="1">
      <c r="A291" s="4" t="s">
        <v>841</v>
      </c>
      <c r="B291" s="5" t="s">
        <v>841</v>
      </c>
      <c r="C291" s="5" t="s">
        <v>51</v>
      </c>
      <c r="D291" s="5" t="s">
        <v>52</v>
      </c>
      <c r="E291" s="5" t="s">
        <v>88</v>
      </c>
      <c r="F291" s="9">
        <v>18</v>
      </c>
      <c r="G291" s="9">
        <v>183</v>
      </c>
      <c r="H291" s="5" t="s">
        <v>21</v>
      </c>
      <c r="I291" s="5" t="s">
        <v>843</v>
      </c>
      <c r="J291" s="12" t="str">
        <f>HYPERLINK("https://www.boe.es/gazeta/dias/1803/03/04/pdfs/GMD-1803-18.pdf#page=3","Abrir facsímil")</f>
        <v>Abrir facsímil</v>
      </c>
      <c r="K291" s="15" t="s">
        <v>23</v>
      </c>
    </row>
    <row r="292" spans="1:11" ht="42" customHeight="1">
      <c r="A292" s="4" t="s">
        <v>841</v>
      </c>
      <c r="B292" s="5" t="s">
        <v>841</v>
      </c>
      <c r="C292" s="5" t="s">
        <v>40</v>
      </c>
      <c r="D292" s="5" t="s">
        <v>41</v>
      </c>
      <c r="E292" s="5" t="s">
        <v>657</v>
      </c>
      <c r="F292" s="9">
        <v>24</v>
      </c>
      <c r="G292" s="9">
        <v>254</v>
      </c>
      <c r="H292" s="5" t="s">
        <v>21</v>
      </c>
      <c r="I292" s="5" t="s">
        <v>844</v>
      </c>
      <c r="J292" s="12" t="str">
        <f>HYPERLINK("https://www.boe.es/gazeta/dias/1803/03/25/pdfs/GMD-1803-24.pdf#page=6","Abrir facsímil")</f>
        <v>Abrir facsímil</v>
      </c>
      <c r="K292" s="15" t="s">
        <v>23</v>
      </c>
    </row>
    <row r="293" spans="1:11" ht="42" customHeight="1">
      <c r="A293" s="4" t="s">
        <v>845</v>
      </c>
      <c r="B293" s="5" t="s">
        <v>845</v>
      </c>
      <c r="C293" s="5" t="s">
        <v>26</v>
      </c>
      <c r="D293" s="5" t="s">
        <v>27</v>
      </c>
      <c r="E293" s="5" t="s">
        <v>258</v>
      </c>
      <c r="F293" s="9">
        <v>7</v>
      </c>
      <c r="G293" s="9">
        <v>66</v>
      </c>
      <c r="H293" s="5" t="s">
        <v>21</v>
      </c>
      <c r="I293" s="5" t="s">
        <v>846</v>
      </c>
      <c r="J293" s="12" t="str">
        <f>HYPERLINK("https://www.boe.es/gazeta/dias/1803/01/25/pdfs/GMD-1803-7.pdf#page=6","Abrir facsímil")</f>
        <v>Abrir facsímil</v>
      </c>
      <c r="K293" s="15" t="s">
        <v>23</v>
      </c>
    </row>
    <row r="294" spans="1:11" ht="42" customHeight="1">
      <c r="A294" s="4" t="s">
        <v>847</v>
      </c>
      <c r="B294" s="5" t="s">
        <v>847</v>
      </c>
      <c r="C294" s="5" t="s">
        <v>51</v>
      </c>
      <c r="D294" s="5" t="s">
        <v>52</v>
      </c>
      <c r="E294" s="5" t="s">
        <v>523</v>
      </c>
      <c r="F294" s="9">
        <v>101</v>
      </c>
      <c r="G294" s="9">
        <v>1083</v>
      </c>
      <c r="H294" s="5" t="s">
        <v>21</v>
      </c>
      <c r="I294" s="5" t="s">
        <v>848</v>
      </c>
      <c r="J294" s="12" t="str">
        <f>HYPERLINK("https://www.boe.es/gazeta/dias/1803/12/16/pdfs/GMD-1803-101.pdf#page=7","Abrir facsímil")</f>
        <v>Abrir facsímil</v>
      </c>
      <c r="K294" s="15" t="s">
        <v>23</v>
      </c>
    </row>
    <row r="295" spans="1:11" ht="42" customHeight="1">
      <c r="A295" s="4" t="s">
        <v>849</v>
      </c>
      <c r="B295" s="5" t="s">
        <v>850</v>
      </c>
      <c r="C295" s="5" t="s">
        <v>26</v>
      </c>
      <c r="D295" s="5" t="s">
        <v>27</v>
      </c>
      <c r="E295" s="5" t="s">
        <v>293</v>
      </c>
      <c r="F295" s="9">
        <v>45</v>
      </c>
      <c r="G295" s="9">
        <v>474</v>
      </c>
      <c r="H295" s="5" t="s">
        <v>21</v>
      </c>
      <c r="I295" s="5" t="s">
        <v>851</v>
      </c>
      <c r="J295" s="12" t="str">
        <f>HYPERLINK("https://www.boe.es/gazeta/dias/1803/06/07/pdfs/GMD-1803-45.pdf#page=10","Abrir facsímil")</f>
        <v>Abrir facsímil</v>
      </c>
      <c r="K295" s="15" t="s">
        <v>23</v>
      </c>
    </row>
    <row r="296" spans="1:11" ht="42" customHeight="1">
      <c r="A296" s="4" t="s">
        <v>852</v>
      </c>
      <c r="B296" s="5" t="s">
        <v>853</v>
      </c>
      <c r="C296" s="5" t="s">
        <v>26</v>
      </c>
      <c r="D296" s="5" t="s">
        <v>27</v>
      </c>
      <c r="E296" s="5" t="s">
        <v>77</v>
      </c>
      <c r="F296" s="9">
        <v>64</v>
      </c>
      <c r="G296" s="9">
        <v>699</v>
      </c>
      <c r="H296" s="5" t="s">
        <v>21</v>
      </c>
      <c r="I296" s="5" t="s">
        <v>854</v>
      </c>
      <c r="J296" s="12" t="str">
        <f>HYPERLINK("https://www.boe.es/gazeta/dias/1803/08/12/pdfs/GMD-1803-64.pdf#page=7","Abrir facsímil")</f>
        <v>Abrir facsímil</v>
      </c>
      <c r="K296" s="15" t="s">
        <v>23</v>
      </c>
    </row>
    <row r="297" spans="1:11" ht="42" customHeight="1">
      <c r="A297" s="4" t="s">
        <v>855</v>
      </c>
      <c r="B297" s="5" t="s">
        <v>856</v>
      </c>
      <c r="C297" s="5" t="s">
        <v>51</v>
      </c>
      <c r="D297" s="5" t="s">
        <v>52</v>
      </c>
      <c r="E297" s="5" t="s">
        <v>361</v>
      </c>
      <c r="F297" s="9">
        <v>62</v>
      </c>
      <c r="G297" s="9">
        <v>679</v>
      </c>
      <c r="H297" s="5" t="s">
        <v>21</v>
      </c>
      <c r="I297" s="5" t="s">
        <v>857</v>
      </c>
      <c r="J297" s="12" t="str">
        <f>HYPERLINK("https://www.boe.es/gazeta/dias/1803/08/05/pdfs/GMD-1803-62.pdf#page=11","Abrir facsímil")</f>
        <v>Abrir facsímil</v>
      </c>
      <c r="K297" s="15" t="s">
        <v>23</v>
      </c>
    </row>
    <row r="298" spans="1:11" ht="42" customHeight="1">
      <c r="A298" s="4" t="s">
        <v>858</v>
      </c>
      <c r="B298" s="5" t="s">
        <v>859</v>
      </c>
      <c r="C298" s="5" t="s">
        <v>51</v>
      </c>
      <c r="D298" s="5" t="s">
        <v>52</v>
      </c>
      <c r="E298" s="5" t="s">
        <v>340</v>
      </c>
      <c r="F298" s="9">
        <v>55</v>
      </c>
      <c r="G298" s="9">
        <v>599</v>
      </c>
      <c r="H298" s="5" t="s">
        <v>21</v>
      </c>
      <c r="I298" s="5" t="s">
        <v>860</v>
      </c>
      <c r="J298" s="12" t="str">
        <f>HYPERLINK("https://www.boe.es/gazeta/dias/1803/07/12/pdfs/GMD-1803-55.pdf#page=7","Abrir facsímil")</f>
        <v>Abrir facsímil</v>
      </c>
      <c r="K298" s="15" t="s">
        <v>23</v>
      </c>
    </row>
    <row r="299" spans="1:11" ht="42" customHeight="1">
      <c r="A299" s="4" t="s">
        <v>858</v>
      </c>
      <c r="B299" s="5" t="s">
        <v>859</v>
      </c>
      <c r="C299" s="5" t="s">
        <v>40</v>
      </c>
      <c r="D299" s="5" t="s">
        <v>41</v>
      </c>
      <c r="E299" s="5" t="s">
        <v>75</v>
      </c>
      <c r="F299" s="9">
        <v>56</v>
      </c>
      <c r="G299" s="9">
        <v>606</v>
      </c>
      <c r="H299" s="5" t="s">
        <v>21</v>
      </c>
      <c r="I299" s="5" t="s">
        <v>861</v>
      </c>
      <c r="J299" s="12" t="str">
        <f>HYPERLINK("https://www.boe.es/gazeta/dias/1803/07/15/pdfs/GMD-1803-56.pdf#page=2","Abrir facsímil")</f>
        <v>Abrir facsímil</v>
      </c>
      <c r="K299" s="15" t="s">
        <v>23</v>
      </c>
    </row>
    <row r="300" spans="1:11" ht="42" customHeight="1">
      <c r="A300" s="4" t="s">
        <v>858</v>
      </c>
      <c r="B300" s="5" t="s">
        <v>859</v>
      </c>
      <c r="C300" s="5" t="s">
        <v>40</v>
      </c>
      <c r="D300" s="5" t="s">
        <v>41</v>
      </c>
      <c r="E300" s="5" t="s">
        <v>132</v>
      </c>
      <c r="F300" s="9">
        <v>58</v>
      </c>
      <c r="G300" s="9">
        <v>634</v>
      </c>
      <c r="H300" s="5" t="s">
        <v>21</v>
      </c>
      <c r="I300" s="5" t="s">
        <v>862</v>
      </c>
      <c r="J300" s="12" t="str">
        <f>HYPERLINK("https://www.boe.es/gazeta/dias/1803/07/22/pdfs/GMD-1803-58.pdf#page=6","Abrir facsímil")</f>
        <v>Abrir facsímil</v>
      </c>
      <c r="K300" s="15" t="s">
        <v>23</v>
      </c>
    </row>
    <row r="301" spans="1:11" ht="42" customHeight="1">
      <c r="A301" s="4" t="s">
        <v>863</v>
      </c>
      <c r="B301" s="5" t="s">
        <v>864</v>
      </c>
      <c r="C301" s="5" t="s">
        <v>51</v>
      </c>
      <c r="D301" s="5" t="s">
        <v>52</v>
      </c>
      <c r="E301" s="5" t="s">
        <v>77</v>
      </c>
      <c r="F301" s="9">
        <v>64</v>
      </c>
      <c r="G301" s="9">
        <v>700</v>
      </c>
      <c r="H301" s="5" t="s">
        <v>21</v>
      </c>
      <c r="I301" s="5" t="s">
        <v>865</v>
      </c>
      <c r="J301" s="12" t="str">
        <f>HYPERLINK("https://www.boe.es/gazeta/dias/1803/08/12/pdfs/GMD-1803-64.pdf#page=8","Abrir facsímil")</f>
        <v>Abrir facsímil</v>
      </c>
      <c r="K301" s="15" t="s">
        <v>23</v>
      </c>
    </row>
    <row r="302" spans="1:11" ht="42" customHeight="1">
      <c r="A302" s="4" t="s">
        <v>866</v>
      </c>
      <c r="B302" s="5" t="s">
        <v>867</v>
      </c>
      <c r="C302" s="5" t="s">
        <v>26</v>
      </c>
      <c r="D302" s="5" t="s">
        <v>27</v>
      </c>
      <c r="E302" s="5" t="s">
        <v>403</v>
      </c>
      <c r="F302" s="9">
        <v>91</v>
      </c>
      <c r="G302" s="9">
        <v>977</v>
      </c>
      <c r="H302" s="5" t="s">
        <v>21</v>
      </c>
      <c r="I302" s="5" t="s">
        <v>868</v>
      </c>
      <c r="J302" s="12" t="str">
        <f>HYPERLINK("https://www.boe.es/gazeta/dias/1803/11/11/pdfs/GMD-1803-91.pdf#page=9","Abrir facsímil")</f>
        <v>Abrir facsímil</v>
      </c>
      <c r="K302" s="15" t="s">
        <v>23</v>
      </c>
    </row>
    <row r="303" spans="1:11" ht="42" customHeight="1">
      <c r="A303" s="4" t="s">
        <v>869</v>
      </c>
      <c r="B303" s="5" t="s">
        <v>870</v>
      </c>
      <c r="C303" s="5" t="s">
        <v>26</v>
      </c>
      <c r="D303" s="5" t="s">
        <v>27</v>
      </c>
      <c r="E303" s="5" t="s">
        <v>263</v>
      </c>
      <c r="F303" s="9">
        <v>75</v>
      </c>
      <c r="G303" s="9">
        <v>811</v>
      </c>
      <c r="H303" s="5" t="s">
        <v>21</v>
      </c>
      <c r="I303" s="5" t="s">
        <v>871</v>
      </c>
      <c r="J303" s="12" t="str">
        <f>HYPERLINK("https://www.boe.es/gazeta/dias/1803/09/16/pdfs/GMD-1803-75.pdf#page=7","Abrir facsímil")</f>
        <v>Abrir facsímil</v>
      </c>
      <c r="K303" s="15" t="s">
        <v>23</v>
      </c>
    </row>
    <row r="304" spans="1:11" ht="42" customHeight="1">
      <c r="A304" s="4" t="s">
        <v>872</v>
      </c>
      <c r="B304" s="5" t="s">
        <v>873</v>
      </c>
      <c r="C304" s="5" t="s">
        <v>874</v>
      </c>
      <c r="D304" s="5" t="s">
        <v>875</v>
      </c>
      <c r="E304" s="5" t="s">
        <v>480</v>
      </c>
      <c r="F304" s="9">
        <v>87</v>
      </c>
      <c r="G304" s="9" t="s">
        <v>876</v>
      </c>
      <c r="H304" s="5" t="s">
        <v>21</v>
      </c>
      <c r="I304" s="5" t="s">
        <v>877</v>
      </c>
      <c r="J304" s="12" t="str">
        <f>HYPERLINK("https://www.boe.es/gazeta/dias/1803/10/28/pdfs/GMD-C-1803-87.pdf#page=1","Abrir facsímil")</f>
        <v>Abrir facsímil</v>
      </c>
      <c r="K304" s="15" t="s">
        <v>23</v>
      </c>
    </row>
    <row r="305" spans="1:11" ht="42" customHeight="1">
      <c r="A305" s="4" t="s">
        <v>878</v>
      </c>
      <c r="B305" s="5" t="s">
        <v>878</v>
      </c>
      <c r="C305" s="5" t="s">
        <v>80</v>
      </c>
      <c r="D305" s="5" t="s">
        <v>81</v>
      </c>
      <c r="E305" s="5" t="s">
        <v>619</v>
      </c>
      <c r="F305" s="9">
        <v>53</v>
      </c>
      <c r="G305" s="9">
        <v>580</v>
      </c>
      <c r="H305" s="5" t="s">
        <v>21</v>
      </c>
      <c r="I305" s="5" t="s">
        <v>879</v>
      </c>
      <c r="J305" s="12" t="str">
        <f>HYPERLINK("https://www.boe.es/gazeta/dias/1803/07/05/pdfs/GMD-1803-53.pdf#page=12","Abrir facsímil")</f>
        <v>Abrir facsímil</v>
      </c>
      <c r="K305" s="15" t="s">
        <v>23</v>
      </c>
    </row>
    <row r="306" spans="1:11" ht="42" customHeight="1">
      <c r="A306" s="4" t="s">
        <v>880</v>
      </c>
      <c r="B306" s="5" t="s">
        <v>881</v>
      </c>
      <c r="C306" s="5" t="s">
        <v>51</v>
      </c>
      <c r="D306" s="5" t="s">
        <v>52</v>
      </c>
      <c r="E306" s="5" t="s">
        <v>882</v>
      </c>
      <c r="F306" s="9">
        <v>60</v>
      </c>
      <c r="G306" s="9">
        <v>656</v>
      </c>
      <c r="H306" s="5" t="s">
        <v>21</v>
      </c>
      <c r="I306" s="5" t="s">
        <v>883</v>
      </c>
      <c r="J306" s="12" t="str">
        <f>HYPERLINK("https://www.boe.es/gazeta/dias/1803/07/29/pdfs/GMD-1803-60.pdf#page=8","Abrir facsímil")</f>
        <v>Abrir facsímil</v>
      </c>
      <c r="K306" s="15" t="s">
        <v>23</v>
      </c>
    </row>
    <row r="307" spans="1:11" ht="42" customHeight="1">
      <c r="A307" s="4" t="s">
        <v>884</v>
      </c>
      <c r="B307" s="5" t="s">
        <v>885</v>
      </c>
      <c r="C307" s="5" t="s">
        <v>40</v>
      </c>
      <c r="D307" s="5" t="s">
        <v>41</v>
      </c>
      <c r="E307" s="5" t="s">
        <v>630</v>
      </c>
      <c r="F307" s="9">
        <v>85</v>
      </c>
      <c r="G307" s="9">
        <v>916</v>
      </c>
      <c r="H307" s="5" t="s">
        <v>21</v>
      </c>
      <c r="I307" s="5" t="s">
        <v>886</v>
      </c>
      <c r="J307" s="12" t="str">
        <f>HYPERLINK("https://www.boe.es/gazeta/dias/1803/10/21/pdfs/GMD-1803-85.pdf#page=8","Abrir facsímil")</f>
        <v>Abrir facsímil</v>
      </c>
      <c r="K307" s="15" t="s">
        <v>23</v>
      </c>
    </row>
    <row r="308" spans="1:11" ht="42" customHeight="1">
      <c r="A308" s="4" t="s">
        <v>887</v>
      </c>
      <c r="B308" s="5" t="s">
        <v>888</v>
      </c>
      <c r="C308" s="5" t="s">
        <v>46</v>
      </c>
      <c r="D308" s="5" t="s">
        <v>19</v>
      </c>
      <c r="E308" s="5" t="s">
        <v>309</v>
      </c>
      <c r="F308" s="9">
        <v>37</v>
      </c>
      <c r="G308" s="9">
        <v>380</v>
      </c>
      <c r="H308" s="5" t="s">
        <v>21</v>
      </c>
      <c r="I308" s="5" t="s">
        <v>889</v>
      </c>
      <c r="J308" s="12" t="str">
        <f>HYPERLINK("https://www.boe.es/gazeta/dias/1803/05/10/pdfs/GMD-1803-37.pdf#page=4","Abrir facsímil")</f>
        <v>Abrir facsímil</v>
      </c>
      <c r="K308" s="15" t="s">
        <v>23</v>
      </c>
    </row>
    <row r="309" spans="1:11" ht="42" customHeight="1">
      <c r="A309" s="4" t="s">
        <v>890</v>
      </c>
      <c r="B309" s="5" t="s">
        <v>891</v>
      </c>
      <c r="C309" s="5" t="s">
        <v>40</v>
      </c>
      <c r="D309" s="5" t="s">
        <v>41</v>
      </c>
      <c r="E309" s="5" t="s">
        <v>588</v>
      </c>
      <c r="F309" s="9">
        <v>63</v>
      </c>
      <c r="G309" s="9">
        <v>681</v>
      </c>
      <c r="H309" s="5" t="s">
        <v>21</v>
      </c>
      <c r="I309" s="5" t="s">
        <v>892</v>
      </c>
      <c r="J309" s="12" t="str">
        <f>HYPERLINK("https://www.boe.es/gazeta/dias/1803/08/09/pdfs/GMD-1803-63.pdf#page=1","Abrir facsímil")</f>
        <v>Abrir facsímil</v>
      </c>
      <c r="K309" s="15" t="s">
        <v>23</v>
      </c>
    </row>
    <row r="310" spans="1:11" ht="42" customHeight="1">
      <c r="A310" s="4" t="s">
        <v>893</v>
      </c>
      <c r="B310" s="5" t="s">
        <v>894</v>
      </c>
      <c r="C310" s="5" t="s">
        <v>26</v>
      </c>
      <c r="D310" s="5" t="s">
        <v>27</v>
      </c>
      <c r="E310" s="5" t="s">
        <v>124</v>
      </c>
      <c r="F310" s="9">
        <v>20</v>
      </c>
      <c r="G310" s="9">
        <v>209</v>
      </c>
      <c r="H310" s="5" t="s">
        <v>21</v>
      </c>
      <c r="I310" s="5" t="s">
        <v>895</v>
      </c>
      <c r="J310" s="12" t="str">
        <f>HYPERLINK("https://www.boe.es/gazeta/dias/1803/03/11/pdfs/GMD-1803-20.pdf#page=5","Abrir facsímil")</f>
        <v>Abrir facsímil</v>
      </c>
      <c r="K310" s="15" t="s">
        <v>23</v>
      </c>
    </row>
    <row r="311" spans="1:11" ht="42" customHeight="1">
      <c r="A311" s="4" t="s">
        <v>896</v>
      </c>
      <c r="B311" s="5" t="s">
        <v>897</v>
      </c>
      <c r="C311" s="5" t="s">
        <v>26</v>
      </c>
      <c r="D311" s="5" t="s">
        <v>27</v>
      </c>
      <c r="E311" s="5" t="s">
        <v>207</v>
      </c>
      <c r="F311" s="9">
        <v>27</v>
      </c>
      <c r="G311" s="9">
        <v>293</v>
      </c>
      <c r="H311" s="5" t="s">
        <v>21</v>
      </c>
      <c r="I311" s="5" t="s">
        <v>898</v>
      </c>
      <c r="J311" s="12" t="str">
        <f>HYPERLINK("https://www.boe.es/gazeta/dias/1803/04/05/pdfs/GMD-1803-27.pdf#page=9","Abrir facsímil")</f>
        <v>Abrir facsímil</v>
      </c>
      <c r="K311" s="15" t="s">
        <v>23</v>
      </c>
    </row>
    <row r="312" spans="1:11" ht="42" customHeight="1">
      <c r="A312" s="4" t="s">
        <v>899</v>
      </c>
      <c r="B312" s="5" t="s">
        <v>900</v>
      </c>
      <c r="C312" s="5" t="s">
        <v>26</v>
      </c>
      <c r="D312" s="5" t="s">
        <v>27</v>
      </c>
      <c r="E312" s="5" t="s">
        <v>619</v>
      </c>
      <c r="F312" s="9">
        <v>53</v>
      </c>
      <c r="G312" s="9">
        <v>579</v>
      </c>
      <c r="H312" s="5" t="s">
        <v>21</v>
      </c>
      <c r="I312" s="5" t="s">
        <v>901</v>
      </c>
      <c r="J312" s="12" t="str">
        <f>HYPERLINK("https://www.boe.es/gazeta/dias/1803/07/05/pdfs/GMD-1803-53.pdf#page=11","Abrir facsímil")</f>
        <v>Abrir facsímil</v>
      </c>
      <c r="K312" s="15" t="s">
        <v>23</v>
      </c>
    </row>
    <row r="313" spans="1:11" ht="42" customHeight="1">
      <c r="A313" s="4" t="s">
        <v>902</v>
      </c>
      <c r="B313" s="5" t="s">
        <v>903</v>
      </c>
      <c r="C313" s="5" t="s">
        <v>26</v>
      </c>
      <c r="D313" s="5" t="s">
        <v>27</v>
      </c>
      <c r="E313" s="5" t="s">
        <v>199</v>
      </c>
      <c r="F313" s="9">
        <v>88</v>
      </c>
      <c r="G313" s="9">
        <v>945</v>
      </c>
      <c r="H313" s="5" t="s">
        <v>21</v>
      </c>
      <c r="I313" s="5" t="s">
        <v>904</v>
      </c>
      <c r="J313" s="12" t="str">
        <f>HYPERLINK("https://www.boe.es/gazeta/dias/1803/11/01/pdfs/GMD-1803-88.pdf#page=5","Abrir facsímil")</f>
        <v>Abrir facsímil</v>
      </c>
      <c r="K313" s="15" t="s">
        <v>23</v>
      </c>
    </row>
    <row r="314" spans="1:11" ht="42" customHeight="1">
      <c r="A314" s="4" t="s">
        <v>905</v>
      </c>
      <c r="B314" s="5" t="s">
        <v>906</v>
      </c>
      <c r="C314" s="5" t="s">
        <v>26</v>
      </c>
      <c r="D314" s="5" t="s">
        <v>27</v>
      </c>
      <c r="E314" s="5" t="s">
        <v>496</v>
      </c>
      <c r="F314" s="9">
        <v>90</v>
      </c>
      <c r="G314" s="9">
        <v>966</v>
      </c>
      <c r="H314" s="5" t="s">
        <v>21</v>
      </c>
      <c r="I314" s="5" t="s">
        <v>907</v>
      </c>
      <c r="J314" s="12" t="str">
        <f>HYPERLINK("https://www.boe.es/gazeta/dias/1803/11/08/pdfs/GMD-1803-90.pdf#page=6","Abrir facsímil")</f>
        <v>Abrir facsímil</v>
      </c>
      <c r="K314" s="15" t="s">
        <v>23</v>
      </c>
    </row>
    <row r="315" spans="1:11" ht="42" customHeight="1">
      <c r="A315" s="4" t="s">
        <v>908</v>
      </c>
      <c r="B315" s="5" t="s">
        <v>909</v>
      </c>
      <c r="C315" s="5" t="s">
        <v>40</v>
      </c>
      <c r="D315" s="5" t="s">
        <v>41</v>
      </c>
      <c r="E315" s="5" t="s">
        <v>910</v>
      </c>
      <c r="F315" s="9">
        <v>66</v>
      </c>
      <c r="G315" s="9">
        <v>717</v>
      </c>
      <c r="H315" s="5" t="s">
        <v>21</v>
      </c>
      <c r="I315" s="5" t="s">
        <v>911</v>
      </c>
      <c r="J315" s="12" t="str">
        <f>HYPERLINK("https://www.boe.es/gazeta/dias/1803/08/19/pdfs/GMD-1803-66.pdf#page=5","Abrir facsímil")</f>
        <v>Abrir facsímil</v>
      </c>
      <c r="K315" s="15" t="s">
        <v>23</v>
      </c>
    </row>
    <row r="316" spans="1:11" ht="42" customHeight="1">
      <c r="A316" s="4" t="s">
        <v>912</v>
      </c>
      <c r="B316" s="5" t="s">
        <v>913</v>
      </c>
      <c r="C316" s="5" t="s">
        <v>80</v>
      </c>
      <c r="D316" s="5" t="s">
        <v>81</v>
      </c>
      <c r="E316" s="5" t="s">
        <v>128</v>
      </c>
      <c r="F316" s="9">
        <v>80</v>
      </c>
      <c r="G316" s="9">
        <v>864</v>
      </c>
      <c r="H316" s="5" t="s">
        <v>21</v>
      </c>
      <c r="I316" s="5" t="s">
        <v>914</v>
      </c>
      <c r="J316" s="12" t="str">
        <f>HYPERLINK("https://www.boe.es/gazeta/dias/1803/10/04/pdfs/GMD-1803-80.pdf#page=8","Abrir facsímil")</f>
        <v>Abrir facsímil</v>
      </c>
      <c r="K316" s="15" t="s">
        <v>23</v>
      </c>
    </row>
    <row r="317" spans="1:11" ht="42" customHeight="1">
      <c r="A317" s="4" t="s">
        <v>915</v>
      </c>
      <c r="B317" s="5" t="s">
        <v>915</v>
      </c>
      <c r="C317" s="5" t="s">
        <v>40</v>
      </c>
      <c r="D317" s="5" t="s">
        <v>41</v>
      </c>
      <c r="E317" s="5" t="s">
        <v>784</v>
      </c>
      <c r="F317" s="9">
        <v>86</v>
      </c>
      <c r="G317" s="9">
        <v>927</v>
      </c>
      <c r="H317" s="5" t="s">
        <v>21</v>
      </c>
      <c r="I317" s="5" t="s">
        <v>916</v>
      </c>
      <c r="J317" s="12" t="str">
        <f>HYPERLINK("https://www.boe.es/gazeta/dias/1803/10/25/pdfs/GMD-1803-86.pdf#page=7","Abrir facsímil")</f>
        <v>Abrir facsímil</v>
      </c>
      <c r="K317" s="15" t="s">
        <v>23</v>
      </c>
    </row>
    <row r="318" spans="1:11" ht="42" customHeight="1">
      <c r="A318" s="4" t="s">
        <v>917</v>
      </c>
      <c r="B318" s="5" t="s">
        <v>918</v>
      </c>
      <c r="C318" s="5" t="s">
        <v>40</v>
      </c>
      <c r="D318" s="5" t="s">
        <v>41</v>
      </c>
      <c r="E318" s="5" t="s">
        <v>919</v>
      </c>
      <c r="F318" s="9">
        <v>69</v>
      </c>
      <c r="G318" s="9">
        <v>748</v>
      </c>
      <c r="H318" s="5" t="s">
        <v>21</v>
      </c>
      <c r="I318" s="5" t="s">
        <v>920</v>
      </c>
      <c r="J318" s="12" t="str">
        <f>HYPERLINK("https://www.boe.es/gazeta/dias/1803/08/30/pdfs/GMD-1803-69.pdf#page=4","Abrir facsímil")</f>
        <v>Abrir facsímil</v>
      </c>
      <c r="K318" s="15" t="s">
        <v>23</v>
      </c>
    </row>
    <row r="319" spans="1:11" ht="42" customHeight="1">
      <c r="A319" s="4" t="s">
        <v>921</v>
      </c>
      <c r="B319" s="5" t="s">
        <v>922</v>
      </c>
      <c r="C319" s="5" t="s">
        <v>80</v>
      </c>
      <c r="D319" s="5" t="s">
        <v>81</v>
      </c>
      <c r="E319" s="5" t="s">
        <v>391</v>
      </c>
      <c r="F319" s="9">
        <v>61</v>
      </c>
      <c r="G319" s="9">
        <v>665</v>
      </c>
      <c r="H319" s="5" t="s">
        <v>21</v>
      </c>
      <c r="I319" s="5" t="s">
        <v>923</v>
      </c>
      <c r="J319" s="12" t="str">
        <f>HYPERLINK("https://www.boe.es/gazeta/dias/1803/08/02/pdfs/GMD-1803-61.pdf#page=5","Abrir facsímil")</f>
        <v>Abrir facsímil</v>
      </c>
      <c r="K319" s="15" t="s">
        <v>23</v>
      </c>
    </row>
    <row r="320" spans="1:11" ht="42" customHeight="1">
      <c r="A320" s="4" t="s">
        <v>924</v>
      </c>
      <c r="B320" s="5" t="s">
        <v>925</v>
      </c>
      <c r="C320" s="5" t="s">
        <v>18</v>
      </c>
      <c r="D320" s="5" t="s">
        <v>19</v>
      </c>
      <c r="E320" s="5" t="s">
        <v>395</v>
      </c>
      <c r="F320" s="9">
        <v>13</v>
      </c>
      <c r="G320" s="9">
        <v>133</v>
      </c>
      <c r="H320" s="5" t="s">
        <v>21</v>
      </c>
      <c r="I320" s="5" t="s">
        <v>926</v>
      </c>
      <c r="J320" s="12" t="str">
        <f>HYPERLINK("https://www.boe.es/gazeta/dias/1803/02/15/pdfs/GMD-1803-13.pdf#page=9","Abrir facsímil")</f>
        <v>Abrir facsímil</v>
      </c>
      <c r="K320" s="15" t="s">
        <v>23</v>
      </c>
    </row>
    <row r="321" spans="1:11" ht="42" customHeight="1">
      <c r="A321" s="4" t="s">
        <v>927</v>
      </c>
      <c r="B321" s="5" t="s">
        <v>928</v>
      </c>
      <c r="C321" s="5" t="s">
        <v>26</v>
      </c>
      <c r="D321" s="5" t="s">
        <v>27</v>
      </c>
      <c r="E321" s="5" t="s">
        <v>555</v>
      </c>
      <c r="F321" s="9">
        <v>83</v>
      </c>
      <c r="G321" s="9">
        <v>894</v>
      </c>
      <c r="H321" s="5" t="s">
        <v>21</v>
      </c>
      <c r="I321" s="5" t="s">
        <v>929</v>
      </c>
      <c r="J321" s="12" t="str">
        <f>HYPERLINK("https://www.boe.es/gazeta/dias/1803/10/14/pdfs/GMD-1803-83.pdf#page=6","Abrir facsímil")</f>
        <v>Abrir facsímil</v>
      </c>
      <c r="K321" s="15" t="s">
        <v>23</v>
      </c>
    </row>
    <row r="322" spans="1:11" ht="42" customHeight="1">
      <c r="A322" s="4" t="s">
        <v>930</v>
      </c>
      <c r="B322" s="5" t="s">
        <v>931</v>
      </c>
      <c r="C322" s="5" t="s">
        <v>18</v>
      </c>
      <c r="D322" s="5" t="s">
        <v>19</v>
      </c>
      <c r="E322" s="5" t="s">
        <v>109</v>
      </c>
      <c r="F322" s="9">
        <v>102</v>
      </c>
      <c r="G322" s="9">
        <v>1097</v>
      </c>
      <c r="H322" s="5" t="s">
        <v>21</v>
      </c>
      <c r="I322" s="5" t="s">
        <v>932</v>
      </c>
      <c r="J322" s="12" t="str">
        <f>HYPERLINK("https://www.boe.es/gazeta/dias/1803/12/20/pdfs/GMD-1803-102.pdf#page=9","Abrir facsímil")</f>
        <v>Abrir facsímil</v>
      </c>
      <c r="K322" s="15" t="s">
        <v>23</v>
      </c>
    </row>
    <row r="323" spans="1:11" ht="42" customHeight="1">
      <c r="A323" s="4" t="s">
        <v>933</v>
      </c>
      <c r="B323" s="5" t="s">
        <v>934</v>
      </c>
      <c r="C323" s="5" t="s">
        <v>26</v>
      </c>
      <c r="D323" s="5" t="s">
        <v>27</v>
      </c>
      <c r="E323" s="5" t="s">
        <v>514</v>
      </c>
      <c r="F323" s="9">
        <v>42</v>
      </c>
      <c r="G323" s="9">
        <v>439</v>
      </c>
      <c r="H323" s="5" t="s">
        <v>21</v>
      </c>
      <c r="I323" s="5" t="s">
        <v>935</v>
      </c>
      <c r="J323" s="12" t="str">
        <f>HYPERLINK("https://www.boe.es/gazeta/dias/1803/05/27/pdfs/GMD-1803-42.pdf#page=7","Abrir facsímil")</f>
        <v>Abrir facsímil</v>
      </c>
      <c r="K323" s="15" t="s">
        <v>23</v>
      </c>
    </row>
    <row r="324" spans="1:11" ht="42" customHeight="1">
      <c r="A324" s="4" t="s">
        <v>936</v>
      </c>
      <c r="B324" s="5" t="s">
        <v>937</v>
      </c>
      <c r="C324" s="5" t="s">
        <v>18</v>
      </c>
      <c r="D324" s="5" t="s">
        <v>19</v>
      </c>
      <c r="E324" s="5" t="s">
        <v>109</v>
      </c>
      <c r="F324" s="9">
        <v>102</v>
      </c>
      <c r="G324" s="9">
        <v>1097</v>
      </c>
      <c r="H324" s="5" t="s">
        <v>21</v>
      </c>
      <c r="I324" s="5" t="s">
        <v>938</v>
      </c>
      <c r="J324" s="12" t="str">
        <f>HYPERLINK("https://www.boe.es/gazeta/dias/1803/12/20/pdfs/GMD-1803-102.pdf#page=9","Abrir facsímil")</f>
        <v>Abrir facsímil</v>
      </c>
      <c r="K324" s="15" t="s">
        <v>23</v>
      </c>
    </row>
    <row r="325" spans="1:11" ht="42" customHeight="1">
      <c r="A325" s="4" t="s">
        <v>939</v>
      </c>
      <c r="B325" s="5" t="s">
        <v>940</v>
      </c>
      <c r="C325" s="5" t="s">
        <v>26</v>
      </c>
      <c r="D325" s="5" t="s">
        <v>27</v>
      </c>
      <c r="E325" s="5" t="s">
        <v>207</v>
      </c>
      <c r="F325" s="9">
        <v>27</v>
      </c>
      <c r="G325" s="9">
        <v>292</v>
      </c>
      <c r="H325" s="5" t="s">
        <v>21</v>
      </c>
      <c r="I325" s="5" t="s">
        <v>941</v>
      </c>
      <c r="J325" s="12" t="str">
        <f>HYPERLINK("https://www.boe.es/gazeta/dias/1803/04/05/pdfs/GMD-1803-27.pdf#page=8","Abrir facsímil")</f>
        <v>Abrir facsímil</v>
      </c>
      <c r="K325" s="15" t="s">
        <v>23</v>
      </c>
    </row>
    <row r="326" spans="1:11" ht="42" customHeight="1">
      <c r="A326" s="4" t="s">
        <v>942</v>
      </c>
      <c r="B326" s="5" t="s">
        <v>943</v>
      </c>
      <c r="C326" s="5" t="s">
        <v>26</v>
      </c>
      <c r="D326" s="5" t="s">
        <v>27</v>
      </c>
      <c r="E326" s="5" t="s">
        <v>373</v>
      </c>
      <c r="F326" s="9">
        <v>77</v>
      </c>
      <c r="G326" s="9">
        <v>834</v>
      </c>
      <c r="H326" s="5" t="s">
        <v>21</v>
      </c>
      <c r="I326" s="5" t="s">
        <v>944</v>
      </c>
      <c r="J326" s="12" t="str">
        <f>HYPERLINK("https://www.boe.es/gazeta/dias/1803/09/23/pdfs/GMD-1803-77.pdf#page=10","Abrir facsímil")</f>
        <v>Abrir facsímil</v>
      </c>
      <c r="K326" s="15" t="s">
        <v>23</v>
      </c>
    </row>
    <row r="327" spans="1:11" ht="42" customHeight="1">
      <c r="A327" s="4" t="s">
        <v>945</v>
      </c>
      <c r="B327" s="5" t="s">
        <v>946</v>
      </c>
      <c r="C327" s="5" t="s">
        <v>26</v>
      </c>
      <c r="D327" s="5" t="s">
        <v>27</v>
      </c>
      <c r="E327" s="5" t="s">
        <v>88</v>
      </c>
      <c r="F327" s="9">
        <v>18</v>
      </c>
      <c r="G327" s="9">
        <v>188</v>
      </c>
      <c r="H327" s="5" t="s">
        <v>21</v>
      </c>
      <c r="I327" s="5" t="s">
        <v>947</v>
      </c>
      <c r="J327" s="12" t="str">
        <f>HYPERLINK("https://www.boe.es/gazeta/dias/1803/03/04/pdfs/GMD-1803-18.pdf#page=8","Abrir facsímil")</f>
        <v>Abrir facsímil</v>
      </c>
      <c r="K327" s="15" t="s">
        <v>23</v>
      </c>
    </row>
    <row r="328" spans="1:11" ht="42" customHeight="1">
      <c r="A328" s="4" t="s">
        <v>948</v>
      </c>
      <c r="B328" s="5" t="s">
        <v>949</v>
      </c>
      <c r="C328" s="5" t="s">
        <v>51</v>
      </c>
      <c r="D328" s="5" t="s">
        <v>52</v>
      </c>
      <c r="E328" s="5" t="s">
        <v>124</v>
      </c>
      <c r="F328" s="9">
        <v>20</v>
      </c>
      <c r="G328" s="9">
        <v>210</v>
      </c>
      <c r="H328" s="5" t="s">
        <v>21</v>
      </c>
      <c r="I328" s="5" t="s">
        <v>950</v>
      </c>
      <c r="J328" s="12" t="str">
        <f>HYPERLINK("https://www.boe.es/gazeta/dias/1803/03/11/pdfs/GMD-1803-20.pdf#page=6","Abrir facsímil")</f>
        <v>Abrir facsímil</v>
      </c>
      <c r="K328" s="15" t="s">
        <v>23</v>
      </c>
    </row>
    <row r="329" spans="1:11" ht="42" customHeight="1">
      <c r="A329" s="4" t="s">
        <v>951</v>
      </c>
      <c r="B329" s="5" t="s">
        <v>951</v>
      </c>
      <c r="C329" s="5" t="s">
        <v>51</v>
      </c>
      <c r="D329" s="5" t="s">
        <v>52</v>
      </c>
      <c r="E329" s="5" t="s">
        <v>509</v>
      </c>
      <c r="F329" s="9">
        <v>6</v>
      </c>
      <c r="G329" s="9">
        <v>49</v>
      </c>
      <c r="H329" s="5" t="s">
        <v>21</v>
      </c>
      <c r="I329" s="5" t="s">
        <v>952</v>
      </c>
      <c r="J329" s="12" t="str">
        <f>HYPERLINK("https://www.boe.es/gazeta/dias/1803/01/21/pdfs/GMD-1803-6.pdf#page=1","Abrir facsímil")</f>
        <v>Abrir facsímil</v>
      </c>
      <c r="K329" s="15" t="s">
        <v>23</v>
      </c>
    </row>
    <row r="330" spans="1:11" ht="42" customHeight="1">
      <c r="A330" s="4" t="s">
        <v>953</v>
      </c>
      <c r="B330" s="5" t="s">
        <v>954</v>
      </c>
      <c r="C330" s="5" t="s">
        <v>26</v>
      </c>
      <c r="D330" s="5" t="s">
        <v>27</v>
      </c>
      <c r="E330" s="5" t="s">
        <v>57</v>
      </c>
      <c r="F330" s="9">
        <v>51</v>
      </c>
      <c r="G330" s="9">
        <v>553</v>
      </c>
      <c r="H330" s="5" t="s">
        <v>21</v>
      </c>
      <c r="I330" s="5" t="s">
        <v>955</v>
      </c>
      <c r="J330" s="12" t="str">
        <f>HYPERLINK("https://www.boe.es/gazeta/dias/1803/06/28/pdfs/GMD-1803-51.pdf#page=9","Abrir facsímil")</f>
        <v>Abrir facsímil</v>
      </c>
      <c r="K330" s="15" t="s">
        <v>23</v>
      </c>
    </row>
    <row r="331" spans="1:11" ht="42" customHeight="1">
      <c r="A331" s="4" t="s">
        <v>956</v>
      </c>
      <c r="B331" s="5" t="s">
        <v>957</v>
      </c>
      <c r="C331" s="5" t="s">
        <v>51</v>
      </c>
      <c r="D331" s="5" t="s">
        <v>52</v>
      </c>
      <c r="E331" s="5" t="s">
        <v>882</v>
      </c>
      <c r="F331" s="9">
        <v>60</v>
      </c>
      <c r="G331" s="9">
        <v>656</v>
      </c>
      <c r="H331" s="5" t="s">
        <v>21</v>
      </c>
      <c r="I331" s="5" t="s">
        <v>958</v>
      </c>
      <c r="J331" s="12" t="str">
        <f>HYPERLINK("https://www.boe.es/gazeta/dias/1803/07/29/pdfs/GMD-1803-60.pdf#page=8","Abrir facsímil")</f>
        <v>Abrir facsímil</v>
      </c>
      <c r="K331" s="15" t="s">
        <v>23</v>
      </c>
    </row>
    <row r="332" spans="1:11" ht="42" customHeight="1">
      <c r="A332" s="4" t="s">
        <v>959</v>
      </c>
      <c r="B332" s="5" t="s">
        <v>960</v>
      </c>
      <c r="C332" s="5" t="s">
        <v>40</v>
      </c>
      <c r="D332" s="5" t="s">
        <v>41</v>
      </c>
      <c r="E332" s="5" t="s">
        <v>53</v>
      </c>
      <c r="F332" s="9">
        <v>99</v>
      </c>
      <c r="G332" s="9">
        <v>1060</v>
      </c>
      <c r="H332" s="5" t="s">
        <v>21</v>
      </c>
      <c r="I332" s="5" t="s">
        <v>961</v>
      </c>
      <c r="J332" s="12" t="str">
        <f>HYPERLINK("https://www.boe.es/gazeta/dias/1803/12/09/pdfs/GMD-1803-99.pdf#page=8","Abrir facsímil")</f>
        <v>Abrir facsímil</v>
      </c>
      <c r="K332" s="15" t="s">
        <v>23</v>
      </c>
    </row>
    <row r="333" spans="1:11" ht="42" customHeight="1">
      <c r="A333" s="4" t="s">
        <v>962</v>
      </c>
      <c r="B333" s="5" t="s">
        <v>963</v>
      </c>
      <c r="C333" s="5" t="s">
        <v>26</v>
      </c>
      <c r="D333" s="5" t="s">
        <v>27</v>
      </c>
      <c r="E333" s="5" t="s">
        <v>303</v>
      </c>
      <c r="F333" s="9">
        <v>8</v>
      </c>
      <c r="G333" s="9">
        <v>79</v>
      </c>
      <c r="H333" s="5" t="s">
        <v>21</v>
      </c>
      <c r="I333" s="5" t="s">
        <v>964</v>
      </c>
      <c r="J333" s="12" t="str">
        <f>HYPERLINK("https://www.boe.es/gazeta/dias/1803/01/28/pdfs/GMD-1803-8.pdf#page=7","Abrir facsímil")</f>
        <v>Abrir facsímil</v>
      </c>
      <c r="K333" s="15" t="s">
        <v>23</v>
      </c>
    </row>
    <row r="334" spans="1:11" ht="42" customHeight="1">
      <c r="A334" s="4" t="s">
        <v>965</v>
      </c>
      <c r="B334" s="5" t="s">
        <v>966</v>
      </c>
      <c r="C334" s="5" t="s">
        <v>18</v>
      </c>
      <c r="D334" s="5" t="s">
        <v>19</v>
      </c>
      <c r="E334" s="5" t="s">
        <v>967</v>
      </c>
      <c r="F334" s="9">
        <v>35</v>
      </c>
      <c r="G334" s="9">
        <v>367</v>
      </c>
      <c r="H334" s="5" t="s">
        <v>21</v>
      </c>
      <c r="I334" s="5" t="s">
        <v>968</v>
      </c>
      <c r="J334" s="12" t="str">
        <f>HYPERLINK("https://www.boe.es/gazeta/dias/1803/05/03/pdfs/GMD-1803-35.pdf#page=7","Abrir facsímil")</f>
        <v>Abrir facsímil</v>
      </c>
      <c r="K334" s="15" t="s">
        <v>23</v>
      </c>
    </row>
    <row r="335" spans="1:11" ht="42" customHeight="1">
      <c r="A335" s="4" t="s">
        <v>969</v>
      </c>
      <c r="B335" s="5" t="s">
        <v>970</v>
      </c>
      <c r="C335" s="5" t="s">
        <v>80</v>
      </c>
      <c r="D335" s="5" t="s">
        <v>81</v>
      </c>
      <c r="E335" s="5" t="s">
        <v>657</v>
      </c>
      <c r="F335" s="9">
        <v>24</v>
      </c>
      <c r="G335" s="9">
        <v>259</v>
      </c>
      <c r="H335" s="5" t="s">
        <v>21</v>
      </c>
      <c r="I335" s="5" t="s">
        <v>971</v>
      </c>
      <c r="J335" s="12" t="str">
        <f>HYPERLINK("https://www.boe.es/gazeta/dias/1803/03/25/pdfs/GMD-1803-24.pdf#page=11","Abrir facsímil")</f>
        <v>Abrir facsímil</v>
      </c>
      <c r="K335" s="15" t="s">
        <v>23</v>
      </c>
    </row>
    <row r="336" spans="1:11" ht="42" customHeight="1">
      <c r="A336" s="4" t="s">
        <v>972</v>
      </c>
      <c r="B336" s="5" t="s">
        <v>973</v>
      </c>
      <c r="C336" s="5" t="s">
        <v>51</v>
      </c>
      <c r="D336" s="5" t="s">
        <v>52</v>
      </c>
      <c r="E336" s="5" t="s">
        <v>300</v>
      </c>
      <c r="F336" s="9">
        <v>96</v>
      </c>
      <c r="G336" s="9">
        <v>1033</v>
      </c>
      <c r="H336" s="5" t="s">
        <v>21</v>
      </c>
      <c r="I336" s="5" t="s">
        <v>974</v>
      </c>
      <c r="J336" s="12" t="str">
        <f>HYPERLINK("https://www.boe.es/gazeta/dias/1803/11/29/pdfs/GMD-1803-96.pdf#page=9","Abrir facsímil")</f>
        <v>Abrir facsímil</v>
      </c>
      <c r="K336" s="15" t="s">
        <v>23</v>
      </c>
    </row>
    <row r="337" spans="1:11" ht="42" customHeight="1">
      <c r="A337" s="4" t="s">
        <v>975</v>
      </c>
      <c r="B337" s="5" t="s">
        <v>976</v>
      </c>
      <c r="C337" s="5" t="s">
        <v>26</v>
      </c>
      <c r="D337" s="5" t="s">
        <v>27</v>
      </c>
      <c r="E337" s="5" t="s">
        <v>328</v>
      </c>
      <c r="F337" s="9">
        <v>54</v>
      </c>
      <c r="G337" s="9">
        <v>591</v>
      </c>
      <c r="H337" s="5" t="s">
        <v>21</v>
      </c>
      <c r="I337" s="5" t="s">
        <v>977</v>
      </c>
      <c r="J337" s="12" t="str">
        <f>HYPERLINK("https://www.boe.es/gazeta/dias/1803/07/08/pdfs/GMD-1803-54.pdf#page=11","Abrir facsímil")</f>
        <v>Abrir facsímil</v>
      </c>
      <c r="K337" s="15" t="s">
        <v>23</v>
      </c>
    </row>
    <row r="338" spans="1:11" ht="42" customHeight="1">
      <c r="A338" s="4" t="s">
        <v>978</v>
      </c>
      <c r="B338" s="5" t="s">
        <v>979</v>
      </c>
      <c r="C338" s="5" t="s">
        <v>18</v>
      </c>
      <c r="D338" s="5" t="s">
        <v>19</v>
      </c>
      <c r="E338" s="5" t="s">
        <v>289</v>
      </c>
      <c r="F338" s="9">
        <v>38</v>
      </c>
      <c r="G338" s="9">
        <v>401</v>
      </c>
      <c r="H338" s="5" t="s">
        <v>21</v>
      </c>
      <c r="I338" s="5" t="s">
        <v>980</v>
      </c>
      <c r="J338" s="12" t="str">
        <f>HYPERLINK("https://www.boe.es/gazeta/dias/1803/05/13/pdfs/GMD-1803-38.pdf#page=9","Abrir facsímil")</f>
        <v>Abrir facsímil</v>
      </c>
      <c r="K338" s="15" t="s">
        <v>23</v>
      </c>
    </row>
    <row r="339" spans="1:11" ht="42" customHeight="1">
      <c r="A339" s="4" t="s">
        <v>981</v>
      </c>
      <c r="B339" s="5" t="s">
        <v>982</v>
      </c>
      <c r="C339" s="5" t="s">
        <v>51</v>
      </c>
      <c r="D339" s="5" t="s">
        <v>52</v>
      </c>
      <c r="E339" s="5" t="s">
        <v>417</v>
      </c>
      <c r="F339" s="9">
        <v>72</v>
      </c>
      <c r="G339" s="9">
        <v>786</v>
      </c>
      <c r="H339" s="5" t="s">
        <v>21</v>
      </c>
      <c r="I339" s="5" t="s">
        <v>983</v>
      </c>
      <c r="J339" s="12" t="str">
        <f>HYPERLINK("https://www.boe.es/gazeta/dias/1803/09/09/pdfs/GMD-1803-72.pdf#page=6","Abrir facsímil")</f>
        <v>Abrir facsímil</v>
      </c>
      <c r="K339" s="15" t="s">
        <v>23</v>
      </c>
    </row>
    <row r="340" spans="1:11" ht="42" customHeight="1">
      <c r="A340" s="4" t="s">
        <v>984</v>
      </c>
      <c r="B340" s="5" t="s">
        <v>985</v>
      </c>
      <c r="C340" s="5" t="s">
        <v>18</v>
      </c>
      <c r="D340" s="5" t="s">
        <v>19</v>
      </c>
      <c r="E340" s="5" t="s">
        <v>124</v>
      </c>
      <c r="F340" s="9">
        <v>20</v>
      </c>
      <c r="G340" s="9">
        <v>210</v>
      </c>
      <c r="H340" s="5" t="s">
        <v>21</v>
      </c>
      <c r="I340" s="5" t="s">
        <v>986</v>
      </c>
      <c r="J340" s="12" t="str">
        <f>HYPERLINK("https://www.boe.es/gazeta/dias/1803/03/11/pdfs/GMD-1803-20.pdf#page=6","Abrir facsímil")</f>
        <v>Abrir facsímil</v>
      </c>
      <c r="K340" s="15" t="s">
        <v>23</v>
      </c>
    </row>
    <row r="341" spans="1:11" ht="42" customHeight="1">
      <c r="A341" s="4" t="s">
        <v>987</v>
      </c>
      <c r="B341" s="5" t="s">
        <v>987</v>
      </c>
      <c r="C341" s="5" t="s">
        <v>26</v>
      </c>
      <c r="D341" s="5" t="s">
        <v>27</v>
      </c>
      <c r="E341" s="5" t="s">
        <v>117</v>
      </c>
      <c r="F341" s="9">
        <v>59</v>
      </c>
      <c r="G341" s="9">
        <v>646</v>
      </c>
      <c r="H341" s="5" t="s">
        <v>21</v>
      </c>
      <c r="I341" s="5" t="s">
        <v>988</v>
      </c>
      <c r="J341" s="12" t="str">
        <f>HYPERLINK("https://www.boe.es/gazeta/dias/1803/07/26/pdfs/GMD-1803-59.pdf#page=6","Abrir facsímil")</f>
        <v>Abrir facsímil</v>
      </c>
      <c r="K341" s="15" t="s">
        <v>23</v>
      </c>
    </row>
    <row r="342" spans="1:11" ht="42" customHeight="1">
      <c r="A342" s="4" t="s">
        <v>989</v>
      </c>
      <c r="B342" s="5" t="s">
        <v>989</v>
      </c>
      <c r="C342" s="5" t="s">
        <v>26</v>
      </c>
      <c r="D342" s="5" t="s">
        <v>27</v>
      </c>
      <c r="E342" s="5" t="s">
        <v>83</v>
      </c>
      <c r="F342" s="9">
        <v>28</v>
      </c>
      <c r="G342" s="9">
        <v>304</v>
      </c>
      <c r="H342" s="5" t="s">
        <v>21</v>
      </c>
      <c r="I342" s="5" t="s">
        <v>990</v>
      </c>
      <c r="J342" s="12" t="str">
        <f>HYPERLINK("https://www.boe.es/gazeta/dias/1803/04/08/pdfs/GMD-1803-28.pdf#page=8","Abrir facsímil")</f>
        <v>Abrir facsímil</v>
      </c>
      <c r="K342" s="15" t="s">
        <v>23</v>
      </c>
    </row>
    <row r="343" spans="1:11" ht="42" customHeight="1">
      <c r="A343" s="4" t="s">
        <v>991</v>
      </c>
      <c r="B343" s="5" t="s">
        <v>992</v>
      </c>
      <c r="C343" s="5" t="s">
        <v>18</v>
      </c>
      <c r="D343" s="5" t="s">
        <v>19</v>
      </c>
      <c r="E343" s="5" t="s">
        <v>439</v>
      </c>
      <c r="F343" s="9">
        <v>76</v>
      </c>
      <c r="G343" s="9">
        <v>822</v>
      </c>
      <c r="H343" s="5" t="s">
        <v>21</v>
      </c>
      <c r="I343" s="5" t="s">
        <v>993</v>
      </c>
      <c r="J343" s="12" t="str">
        <f>HYPERLINK("https://www.boe.es/gazeta/dias/1803/09/20/pdfs/GMD-1803-76.pdf#page=10","Abrir facsímil")</f>
        <v>Abrir facsímil</v>
      </c>
      <c r="K343" s="15" t="s">
        <v>23</v>
      </c>
    </row>
    <row r="344" spans="1:11" ht="42" customHeight="1">
      <c r="A344" s="4" t="s">
        <v>994</v>
      </c>
      <c r="B344" s="5" t="s">
        <v>995</v>
      </c>
      <c r="C344" s="5" t="s">
        <v>26</v>
      </c>
      <c r="D344" s="5" t="s">
        <v>27</v>
      </c>
      <c r="E344" s="5" t="s">
        <v>514</v>
      </c>
      <c r="F344" s="9">
        <v>42</v>
      </c>
      <c r="G344" s="9">
        <v>439</v>
      </c>
      <c r="H344" s="5" t="s">
        <v>21</v>
      </c>
      <c r="I344" s="5" t="s">
        <v>996</v>
      </c>
      <c r="J344" s="12" t="str">
        <f>HYPERLINK("https://www.boe.es/gazeta/dias/1803/05/27/pdfs/GMD-1803-42.pdf#page=7","Abrir facsímil")</f>
        <v>Abrir facsímil</v>
      </c>
      <c r="K344" s="15" t="s">
        <v>23</v>
      </c>
    </row>
    <row r="345" spans="1:11" ht="42" customHeight="1">
      <c r="A345" s="4" t="s">
        <v>997</v>
      </c>
      <c r="B345" s="5" t="s">
        <v>998</v>
      </c>
      <c r="C345" s="5" t="s">
        <v>80</v>
      </c>
      <c r="D345" s="5" t="s">
        <v>81</v>
      </c>
      <c r="E345" s="5" t="s">
        <v>211</v>
      </c>
      <c r="F345" s="9">
        <v>71</v>
      </c>
      <c r="G345" s="9">
        <v>779</v>
      </c>
      <c r="H345" s="5" t="s">
        <v>21</v>
      </c>
      <c r="I345" s="5" t="s">
        <v>999</v>
      </c>
      <c r="J345" s="12" t="str">
        <f>HYPERLINK("https://www.boe.es/gazeta/dias/1803/09/06/pdfs/GMD-1803-71.pdf#page=11","Abrir facsímil")</f>
        <v>Abrir facsímil</v>
      </c>
      <c r="K345" s="15" t="s">
        <v>23</v>
      </c>
    </row>
    <row r="346" spans="1:11" ht="42" customHeight="1">
      <c r="A346" s="4" t="s">
        <v>1000</v>
      </c>
      <c r="B346" s="5" t="s">
        <v>1001</v>
      </c>
      <c r="C346" s="5" t="s">
        <v>26</v>
      </c>
      <c r="D346" s="5" t="s">
        <v>27</v>
      </c>
      <c r="E346" s="5" t="s">
        <v>403</v>
      </c>
      <c r="F346" s="9">
        <v>91</v>
      </c>
      <c r="G346" s="9">
        <v>977</v>
      </c>
      <c r="H346" s="5" t="s">
        <v>21</v>
      </c>
      <c r="I346" s="5" t="s">
        <v>1002</v>
      </c>
      <c r="J346" s="12" t="str">
        <f>HYPERLINK("https://www.boe.es/gazeta/dias/1803/11/11/pdfs/GMD-1803-91.pdf#page=9","Abrir facsímil")</f>
        <v>Abrir facsímil</v>
      </c>
      <c r="K346" s="15" t="s">
        <v>23</v>
      </c>
    </row>
    <row r="347" spans="1:11" ht="42" customHeight="1">
      <c r="A347" s="4" t="s">
        <v>1003</v>
      </c>
      <c r="B347" s="5" t="s">
        <v>1004</v>
      </c>
      <c r="C347" s="5" t="s">
        <v>40</v>
      </c>
      <c r="D347" s="5" t="s">
        <v>41</v>
      </c>
      <c r="E347" s="5" t="s">
        <v>64</v>
      </c>
      <c r="F347" s="9">
        <v>65</v>
      </c>
      <c r="G347" s="9">
        <v>702</v>
      </c>
      <c r="H347" s="5" t="s">
        <v>21</v>
      </c>
      <c r="I347" s="5" t="s">
        <v>1005</v>
      </c>
      <c r="J347" s="12" t="str">
        <f>HYPERLINK("https://www.boe.es/gazeta/dias/1803/08/16/pdfs/GMD-1803-65.pdf#page=2","Abrir facsímil")</f>
        <v>Abrir facsímil</v>
      </c>
      <c r="K347" s="15" t="s">
        <v>23</v>
      </c>
    </row>
    <row r="348" spans="1:11" ht="42" customHeight="1">
      <c r="A348" s="4" t="s">
        <v>1003</v>
      </c>
      <c r="B348" s="5" t="s">
        <v>1004</v>
      </c>
      <c r="C348" s="5" t="s">
        <v>40</v>
      </c>
      <c r="D348" s="5" t="s">
        <v>41</v>
      </c>
      <c r="E348" s="5" t="s">
        <v>369</v>
      </c>
      <c r="F348" s="9">
        <v>100</v>
      </c>
      <c r="G348" s="9">
        <v>1065</v>
      </c>
      <c r="H348" s="5" t="s">
        <v>21</v>
      </c>
      <c r="I348" s="5" t="s">
        <v>1006</v>
      </c>
      <c r="J348" s="12" t="str">
        <f>HYPERLINK("https://www.boe.es/gazeta/dias/1803/12/13/pdfs/GMD-1803-100.pdf#page=1","Abrir facsímil")</f>
        <v>Abrir facsímil</v>
      </c>
      <c r="K348" s="15" t="s">
        <v>23</v>
      </c>
    </row>
    <row r="349" spans="1:11" ht="42" customHeight="1">
      <c r="A349" s="4" t="s">
        <v>1007</v>
      </c>
      <c r="B349" s="5" t="s">
        <v>1008</v>
      </c>
      <c r="C349" s="5" t="s">
        <v>40</v>
      </c>
      <c r="D349" s="5" t="s">
        <v>41</v>
      </c>
      <c r="E349" s="5" t="s">
        <v>77</v>
      </c>
      <c r="F349" s="9">
        <v>64</v>
      </c>
      <c r="G349" s="9">
        <v>695</v>
      </c>
      <c r="H349" s="5" t="s">
        <v>21</v>
      </c>
      <c r="I349" s="5" t="s">
        <v>1009</v>
      </c>
      <c r="J349" s="12" t="str">
        <f>HYPERLINK("https://www.boe.es/gazeta/dias/1803/08/12/pdfs/GMD-1803-64.pdf#page=3","Abrir facsímil")</f>
        <v>Abrir facsímil</v>
      </c>
      <c r="K349" s="15" t="s">
        <v>23</v>
      </c>
    </row>
    <row r="350" spans="1:11" ht="42" customHeight="1">
      <c r="A350" s="4" t="s">
        <v>1010</v>
      </c>
      <c r="B350" s="5" t="s">
        <v>1010</v>
      </c>
      <c r="C350" s="5" t="s">
        <v>40</v>
      </c>
      <c r="D350" s="5" t="s">
        <v>41</v>
      </c>
      <c r="E350" s="5" t="s">
        <v>571</v>
      </c>
      <c r="F350" s="9">
        <v>103</v>
      </c>
      <c r="G350" s="9">
        <v>1103</v>
      </c>
      <c r="H350" s="5" t="s">
        <v>21</v>
      </c>
      <c r="I350" s="5" t="s">
        <v>1011</v>
      </c>
      <c r="J350" s="12" t="str">
        <f>HYPERLINK("https://www.boe.es/gazeta/dias/1803/12/23/pdfs/GMD-1803-103.pdf#page=3","Abrir facsímil")</f>
        <v>Abrir facsímil</v>
      </c>
      <c r="K350" s="15" t="s">
        <v>23</v>
      </c>
    </row>
    <row r="351" spans="1:11" ht="42" customHeight="1">
      <c r="A351" s="4" t="s">
        <v>1012</v>
      </c>
      <c r="B351" s="5" t="s">
        <v>1013</v>
      </c>
      <c r="C351" s="5" t="s">
        <v>26</v>
      </c>
      <c r="D351" s="5" t="s">
        <v>27</v>
      </c>
      <c r="E351" s="5" t="s">
        <v>148</v>
      </c>
      <c r="F351" s="9">
        <v>15</v>
      </c>
      <c r="G351" s="9">
        <v>157</v>
      </c>
      <c r="H351" s="5" t="s">
        <v>21</v>
      </c>
      <c r="I351" s="5" t="s">
        <v>1014</v>
      </c>
      <c r="J351" s="12" t="str">
        <f>HYPERLINK("https://www.boe.es/gazeta/dias/1803/02/22/pdfs/GMD-1803-15.pdf#page=9","Abrir facsímil")</f>
        <v>Abrir facsímil</v>
      </c>
      <c r="K351" s="15" t="s">
        <v>23</v>
      </c>
    </row>
    <row r="352" spans="1:11" ht="42" customHeight="1">
      <c r="A352" s="4" t="s">
        <v>1015</v>
      </c>
      <c r="B352" s="5" t="s">
        <v>1016</v>
      </c>
      <c r="C352" s="5" t="s">
        <v>26</v>
      </c>
      <c r="D352" s="5" t="s">
        <v>27</v>
      </c>
      <c r="E352" s="5" t="s">
        <v>156</v>
      </c>
      <c r="F352" s="9">
        <v>2</v>
      </c>
      <c r="G352" s="9">
        <v>11</v>
      </c>
      <c r="H352" s="5" t="s">
        <v>21</v>
      </c>
      <c r="I352" s="5" t="s">
        <v>1017</v>
      </c>
      <c r="J352" s="12" t="str">
        <f>HYPERLINK("https://www.boe.es/gazeta/dias/1803/01/07/pdfs/GMD-1803-2.pdf#page=3","Abrir facsímil")</f>
        <v>Abrir facsímil</v>
      </c>
      <c r="K352" s="15" t="s">
        <v>23</v>
      </c>
    </row>
    <row r="353" spans="1:11" ht="42" customHeight="1">
      <c r="A353" s="4" t="s">
        <v>1018</v>
      </c>
      <c r="B353" s="5" t="s">
        <v>1019</v>
      </c>
      <c r="C353" s="5" t="s">
        <v>51</v>
      </c>
      <c r="D353" s="5" t="s">
        <v>52</v>
      </c>
      <c r="E353" s="5" t="s">
        <v>313</v>
      </c>
      <c r="F353" s="9">
        <v>14</v>
      </c>
      <c r="G353" s="9">
        <v>142</v>
      </c>
      <c r="H353" s="5" t="s">
        <v>21</v>
      </c>
      <c r="I353" s="5" t="s">
        <v>1020</v>
      </c>
      <c r="J353" s="12" t="str">
        <f>HYPERLINK("https://www.boe.es/gazeta/dias/1803/02/18/pdfs/GMD-1803-14.pdf#page=6","Abrir facsímil")</f>
        <v>Abrir facsímil</v>
      </c>
      <c r="K353" s="15" t="s">
        <v>23</v>
      </c>
    </row>
    <row r="354" spans="1:11" ht="42" customHeight="1">
      <c r="A354" s="4" t="s">
        <v>1021</v>
      </c>
      <c r="B354" s="5" t="s">
        <v>1021</v>
      </c>
      <c r="C354" s="5" t="s">
        <v>51</v>
      </c>
      <c r="D354" s="5" t="s">
        <v>52</v>
      </c>
      <c r="E354" s="5" t="s">
        <v>258</v>
      </c>
      <c r="F354" s="9">
        <v>7</v>
      </c>
      <c r="G354" s="9">
        <v>62</v>
      </c>
      <c r="H354" s="5" t="s">
        <v>21</v>
      </c>
      <c r="I354" s="5" t="s">
        <v>1022</v>
      </c>
      <c r="J354" s="12" t="str">
        <f>HYPERLINK("https://www.boe.es/gazeta/dias/1803/01/25/pdfs/GMD-1803-7.pdf#page=2","Abrir facsímil")</f>
        <v>Abrir facsímil</v>
      </c>
      <c r="K354" s="15" t="s">
        <v>23</v>
      </c>
    </row>
    <row r="355" spans="1:11" ht="42" customHeight="1">
      <c r="A355" s="4" t="s">
        <v>1023</v>
      </c>
      <c r="B355" s="5" t="s">
        <v>1024</v>
      </c>
      <c r="C355" s="5" t="s">
        <v>26</v>
      </c>
      <c r="D355" s="5" t="s">
        <v>27</v>
      </c>
      <c r="E355" s="5" t="s">
        <v>519</v>
      </c>
      <c r="F355" s="9">
        <v>50</v>
      </c>
      <c r="G355" s="9">
        <v>541</v>
      </c>
      <c r="H355" s="5" t="s">
        <v>21</v>
      </c>
      <c r="I355" s="5" t="s">
        <v>1025</v>
      </c>
      <c r="J355" s="12" t="str">
        <f>HYPERLINK("https://www.boe.es/gazeta/dias/1803/06/24/pdfs/GMD-1803-50.pdf#page=9","Abrir facsímil")</f>
        <v>Abrir facsímil</v>
      </c>
      <c r="K355" s="15" t="s">
        <v>23</v>
      </c>
    </row>
    <row r="356" spans="1:11" ht="42" customHeight="1">
      <c r="A356" s="4" t="s">
        <v>1026</v>
      </c>
      <c r="B356" s="5" t="s">
        <v>1027</v>
      </c>
      <c r="C356" s="5" t="s">
        <v>40</v>
      </c>
      <c r="D356" s="5" t="s">
        <v>41</v>
      </c>
      <c r="E356" s="5" t="s">
        <v>417</v>
      </c>
      <c r="F356" s="9">
        <v>72</v>
      </c>
      <c r="G356" s="9">
        <v>785</v>
      </c>
      <c r="H356" s="5" t="s">
        <v>21</v>
      </c>
      <c r="I356" s="5" t="s">
        <v>1028</v>
      </c>
      <c r="J356" s="12" t="str">
        <f>HYPERLINK("https://www.boe.es/gazeta/dias/1803/09/09/pdfs/GMD-1803-72.pdf#page=5","Abrir facsímil")</f>
        <v>Abrir facsímil</v>
      </c>
      <c r="K356" s="15" t="s">
        <v>23</v>
      </c>
    </row>
    <row r="357" spans="1:11" ht="42" customHeight="1">
      <c r="A357" s="4" t="s">
        <v>1029</v>
      </c>
      <c r="B357" s="5" t="s">
        <v>1030</v>
      </c>
      <c r="C357" s="5" t="s">
        <v>18</v>
      </c>
      <c r="D357" s="5" t="s">
        <v>19</v>
      </c>
      <c r="E357" s="5" t="s">
        <v>178</v>
      </c>
      <c r="F357" s="9">
        <v>36</v>
      </c>
      <c r="G357" s="9">
        <v>375</v>
      </c>
      <c r="H357" s="5" t="s">
        <v>21</v>
      </c>
      <c r="I357" s="5" t="s">
        <v>1031</v>
      </c>
      <c r="J357" s="12" t="str">
        <f>HYPERLINK("https://www.boe.es/gazeta/dias/1803/05/06/pdfs/GMD-1803-36.pdf#page=7","Abrir facsímil")</f>
        <v>Abrir facsímil</v>
      </c>
      <c r="K357" s="15" t="s">
        <v>23</v>
      </c>
    </row>
    <row r="358" spans="1:11" ht="42" customHeight="1">
      <c r="A358" s="4" t="s">
        <v>1032</v>
      </c>
      <c r="B358" s="5" t="s">
        <v>1032</v>
      </c>
      <c r="C358" s="5" t="s">
        <v>40</v>
      </c>
      <c r="D358" s="5" t="s">
        <v>41</v>
      </c>
      <c r="E358" s="5" t="s">
        <v>967</v>
      </c>
      <c r="F358" s="9">
        <v>35</v>
      </c>
      <c r="G358" s="9">
        <v>361</v>
      </c>
      <c r="H358" s="5" t="s">
        <v>21</v>
      </c>
      <c r="I358" s="5" t="s">
        <v>1033</v>
      </c>
      <c r="J358" s="12" t="str">
        <f>HYPERLINK("https://www.boe.es/gazeta/dias/1803/05/03/pdfs/GMD-1803-35.pdf#page=1","Abrir facsímil")</f>
        <v>Abrir facsímil</v>
      </c>
      <c r="K358" s="15" t="s">
        <v>23</v>
      </c>
    </row>
    <row r="359" spans="1:11" ht="42" customHeight="1">
      <c r="A359" s="4" t="s">
        <v>1032</v>
      </c>
      <c r="B359" s="5" t="s">
        <v>1032</v>
      </c>
      <c r="C359" s="5" t="s">
        <v>26</v>
      </c>
      <c r="D359" s="5" t="s">
        <v>27</v>
      </c>
      <c r="E359" s="5" t="s">
        <v>85</v>
      </c>
      <c r="F359" s="9">
        <v>49</v>
      </c>
      <c r="G359" s="9">
        <v>514</v>
      </c>
      <c r="H359" s="5" t="s">
        <v>21</v>
      </c>
      <c r="I359" s="5" t="s">
        <v>1034</v>
      </c>
      <c r="J359" s="12" t="str">
        <f>HYPERLINK("https://www.boe.es/gazeta/dias/1803/06/21/pdfs/GMD-1803-49.pdf#page=2","Abrir facsímil")</f>
        <v>Abrir facsímil</v>
      </c>
      <c r="K359" s="15" t="s">
        <v>23</v>
      </c>
    </row>
    <row r="360" spans="1:11" ht="42" customHeight="1">
      <c r="A360" s="4" t="s">
        <v>1035</v>
      </c>
      <c r="B360" s="5" t="s">
        <v>1035</v>
      </c>
      <c r="C360" s="5" t="s">
        <v>51</v>
      </c>
      <c r="D360" s="5" t="s">
        <v>52</v>
      </c>
      <c r="E360" s="5" t="s">
        <v>256</v>
      </c>
      <c r="F360" s="9">
        <v>1</v>
      </c>
      <c r="G360" s="9">
        <v>6</v>
      </c>
      <c r="H360" s="5" t="s">
        <v>21</v>
      </c>
      <c r="I360" s="5" t="s">
        <v>1036</v>
      </c>
      <c r="J360" s="12" t="str">
        <f>HYPERLINK("https://www.boe.es/gazeta/dias/1803/01/04/pdfs/GMD-1803-1.pdf#page=6","Abrir facsímil")</f>
        <v>Abrir facsímil</v>
      </c>
      <c r="K360" s="15" t="s">
        <v>23</v>
      </c>
    </row>
    <row r="361" spans="1:11" ht="42" customHeight="1">
      <c r="A361" s="4" t="s">
        <v>1037</v>
      </c>
      <c r="B361" s="5" t="s">
        <v>1037</v>
      </c>
      <c r="C361" s="5" t="s">
        <v>51</v>
      </c>
      <c r="D361" s="5" t="s">
        <v>52</v>
      </c>
      <c r="E361" s="5" t="s">
        <v>588</v>
      </c>
      <c r="F361" s="9">
        <v>63</v>
      </c>
      <c r="G361" s="9">
        <v>687</v>
      </c>
      <c r="H361" s="5" t="s">
        <v>21</v>
      </c>
      <c r="I361" s="5" t="s">
        <v>1038</v>
      </c>
      <c r="J361" s="12" t="str">
        <f>HYPERLINK("https://www.boe.es/gazeta/dias/1803/08/09/pdfs/GMD-1803-63.pdf#page=7","Abrir facsímil")</f>
        <v>Abrir facsímil</v>
      </c>
      <c r="K361" s="15" t="s">
        <v>23</v>
      </c>
    </row>
    <row r="362" spans="1:11" ht="42" customHeight="1">
      <c r="A362" s="4" t="s">
        <v>1037</v>
      </c>
      <c r="B362" s="5" t="s">
        <v>1037</v>
      </c>
      <c r="C362" s="5" t="s">
        <v>80</v>
      </c>
      <c r="D362" s="5" t="s">
        <v>81</v>
      </c>
      <c r="E362" s="5" t="s">
        <v>321</v>
      </c>
      <c r="F362" s="9">
        <v>94</v>
      </c>
      <c r="G362" s="9">
        <v>1008</v>
      </c>
      <c r="H362" s="5" t="s">
        <v>21</v>
      </c>
      <c r="I362" s="5" t="s">
        <v>1039</v>
      </c>
      <c r="J362" s="12" t="str">
        <f>HYPERLINK("https://www.boe.es/gazeta/dias/1803/11/22/pdfs/GMD-1803-94.pdf#page=8","Abrir facsímil")</f>
        <v>Abrir facsímil</v>
      </c>
      <c r="K362" s="15" t="s">
        <v>23</v>
      </c>
    </row>
    <row r="363" spans="1:11" ht="42" customHeight="1">
      <c r="A363" s="4" t="s">
        <v>1037</v>
      </c>
      <c r="B363" s="5" t="s">
        <v>1037</v>
      </c>
      <c r="C363" s="5" t="s">
        <v>40</v>
      </c>
      <c r="D363" s="5" t="s">
        <v>41</v>
      </c>
      <c r="E363" s="5" t="s">
        <v>571</v>
      </c>
      <c r="F363" s="9">
        <v>103</v>
      </c>
      <c r="G363" s="9">
        <v>1103</v>
      </c>
      <c r="H363" s="5" t="s">
        <v>21</v>
      </c>
      <c r="I363" s="5" t="s">
        <v>1011</v>
      </c>
      <c r="J363" s="12" t="str">
        <f>HYPERLINK("https://www.boe.es/gazeta/dias/1803/12/23/pdfs/GMD-1803-103.pdf#page=3","Abrir facsímil")</f>
        <v>Abrir facsímil</v>
      </c>
      <c r="K363" s="15" t="s">
        <v>23</v>
      </c>
    </row>
    <row r="364" spans="1:11" ht="42" customHeight="1">
      <c r="A364" s="4" t="s">
        <v>1040</v>
      </c>
      <c r="B364" s="5" t="s">
        <v>1041</v>
      </c>
      <c r="C364" s="5" t="s">
        <v>18</v>
      </c>
      <c r="D364" s="5" t="s">
        <v>19</v>
      </c>
      <c r="E364" s="5" t="s">
        <v>340</v>
      </c>
      <c r="F364" s="9">
        <v>55</v>
      </c>
      <c r="G364" s="9">
        <v>602</v>
      </c>
      <c r="H364" s="5" t="s">
        <v>21</v>
      </c>
      <c r="I364" s="5" t="s">
        <v>1042</v>
      </c>
      <c r="J364" s="12" t="str">
        <f>HYPERLINK("https://www.boe.es/gazeta/dias/1803/07/12/pdfs/GMD-1803-55.pdf#page=10","Abrir facsímil")</f>
        <v>Abrir facsímil</v>
      </c>
      <c r="K364" s="15" t="s">
        <v>23</v>
      </c>
    </row>
    <row r="365" spans="1:11" ht="42" customHeight="1">
      <c r="A365" s="4" t="s">
        <v>1043</v>
      </c>
      <c r="B365" s="5" t="s">
        <v>1044</v>
      </c>
      <c r="C365" s="5" t="s">
        <v>26</v>
      </c>
      <c r="D365" s="5" t="s">
        <v>27</v>
      </c>
      <c r="E365" s="5" t="s">
        <v>501</v>
      </c>
      <c r="F365" s="9">
        <v>22</v>
      </c>
      <c r="G365" s="9">
        <v>237</v>
      </c>
      <c r="H365" s="5" t="s">
        <v>21</v>
      </c>
      <c r="I365" s="5" t="s">
        <v>1045</v>
      </c>
      <c r="J365" s="12" t="str">
        <f>HYPERLINK("https://www.boe.es/gazeta/dias/1803/03/18/pdfs/GMD-1803-22.pdf#page=9","Abrir facsímil")</f>
        <v>Abrir facsímil</v>
      </c>
      <c r="K365" s="15" t="s">
        <v>23</v>
      </c>
    </row>
    <row r="366" spans="1:11" ht="42" customHeight="1">
      <c r="A366" s="4" t="s">
        <v>1046</v>
      </c>
      <c r="B366" s="5" t="s">
        <v>1047</v>
      </c>
      <c r="C366" s="5" t="s">
        <v>26</v>
      </c>
      <c r="D366" s="5" t="s">
        <v>27</v>
      </c>
      <c r="E366" s="5" t="s">
        <v>211</v>
      </c>
      <c r="F366" s="9">
        <v>71</v>
      </c>
      <c r="G366" s="9">
        <v>777</v>
      </c>
      <c r="H366" s="5" t="s">
        <v>21</v>
      </c>
      <c r="I366" s="5" t="s">
        <v>1048</v>
      </c>
      <c r="J366" s="12" t="str">
        <f>HYPERLINK("https://www.boe.es/gazeta/dias/1803/09/06/pdfs/GMD-1803-71.pdf#page=9","Abrir facsímil")</f>
        <v>Abrir facsímil</v>
      </c>
      <c r="K366" s="15" t="s">
        <v>23</v>
      </c>
    </row>
    <row r="367" spans="1:11" ht="42" customHeight="1">
      <c r="A367" s="4" t="s">
        <v>1049</v>
      </c>
      <c r="B367" s="5" t="s">
        <v>1050</v>
      </c>
      <c r="C367" s="5" t="s">
        <v>26</v>
      </c>
      <c r="D367" s="5" t="s">
        <v>27</v>
      </c>
      <c r="E367" s="5" t="s">
        <v>1051</v>
      </c>
      <c r="F367" s="9">
        <v>40</v>
      </c>
      <c r="G367" s="9">
        <v>423</v>
      </c>
      <c r="H367" s="5" t="s">
        <v>21</v>
      </c>
      <c r="I367" s="5" t="s">
        <v>1052</v>
      </c>
      <c r="J367" s="12" t="str">
        <f>HYPERLINK("https://www.boe.es/gazeta/dias/1803/05/20/pdfs/GMD-1803-40.pdf#page=7","Abrir facsímil")</f>
        <v>Abrir facsímil</v>
      </c>
      <c r="K367" s="15" t="s">
        <v>23</v>
      </c>
    </row>
    <row r="368" spans="1:11" ht="42" customHeight="1">
      <c r="A368" s="4" t="s">
        <v>1053</v>
      </c>
      <c r="B368" s="5" t="s">
        <v>1054</v>
      </c>
      <c r="C368" s="5" t="s">
        <v>18</v>
      </c>
      <c r="D368" s="5" t="s">
        <v>19</v>
      </c>
      <c r="E368" s="5" t="s">
        <v>148</v>
      </c>
      <c r="F368" s="9">
        <v>15</v>
      </c>
      <c r="G368" s="9">
        <v>156</v>
      </c>
      <c r="H368" s="5" t="s">
        <v>21</v>
      </c>
      <c r="I368" s="5" t="s">
        <v>1055</v>
      </c>
      <c r="J368" s="12" t="str">
        <f>HYPERLINK("https://www.boe.es/gazeta/dias/1803/02/22/pdfs/GMD-1803-15.pdf#page=8","Abrir facsímil")</f>
        <v>Abrir facsímil</v>
      </c>
      <c r="K368" s="15" t="s">
        <v>23</v>
      </c>
    </row>
    <row r="369" spans="1:11" ht="42" customHeight="1">
      <c r="A369" s="4" t="s">
        <v>1056</v>
      </c>
      <c r="B369" s="5" t="s">
        <v>1057</v>
      </c>
      <c r="C369" s="5" t="s">
        <v>26</v>
      </c>
      <c r="D369" s="5" t="s">
        <v>27</v>
      </c>
      <c r="E369" s="5" t="s">
        <v>784</v>
      </c>
      <c r="F369" s="9">
        <v>86</v>
      </c>
      <c r="G369" s="9">
        <v>930</v>
      </c>
      <c r="H369" s="5" t="s">
        <v>21</v>
      </c>
      <c r="I369" s="5" t="s">
        <v>1058</v>
      </c>
      <c r="J369" s="12" t="str">
        <f>HYPERLINK("https://www.boe.es/gazeta/dias/1803/10/25/pdfs/GMD-1803-86.pdf#page=10","Abrir facsímil")</f>
        <v>Abrir facsímil</v>
      </c>
      <c r="K369" s="15" t="s">
        <v>23</v>
      </c>
    </row>
    <row r="370" spans="1:11" ht="42" customHeight="1">
      <c r="A370" s="4" t="s">
        <v>1059</v>
      </c>
      <c r="B370" s="5" t="s">
        <v>1060</v>
      </c>
      <c r="C370" s="5" t="s">
        <v>40</v>
      </c>
      <c r="D370" s="5" t="s">
        <v>41</v>
      </c>
      <c r="E370" s="5" t="s">
        <v>493</v>
      </c>
      <c r="F370" s="9">
        <v>104</v>
      </c>
      <c r="G370" s="9">
        <v>1112</v>
      </c>
      <c r="H370" s="5" t="s">
        <v>21</v>
      </c>
      <c r="I370" s="5" t="s">
        <v>1061</v>
      </c>
      <c r="J370" s="12" t="str">
        <f>HYPERLINK("https://www.boe.es/gazeta/dias/1803/12/27/pdfs/GMD-1803-104.pdf#page=4","Abrir facsímil")</f>
        <v>Abrir facsímil</v>
      </c>
      <c r="K370" s="15" t="s">
        <v>23</v>
      </c>
    </row>
    <row r="371" spans="1:11" ht="42" customHeight="1">
      <c r="A371" s="4" t="s">
        <v>1062</v>
      </c>
      <c r="B371" s="5" t="s">
        <v>1063</v>
      </c>
      <c r="C371" s="5" t="s">
        <v>80</v>
      </c>
      <c r="D371" s="5" t="s">
        <v>81</v>
      </c>
      <c r="E371" s="5" t="s">
        <v>289</v>
      </c>
      <c r="F371" s="9">
        <v>38</v>
      </c>
      <c r="G371" s="9">
        <v>400</v>
      </c>
      <c r="H371" s="5" t="s">
        <v>21</v>
      </c>
      <c r="I371" s="5" t="s">
        <v>1064</v>
      </c>
      <c r="J371" s="12" t="str">
        <f>HYPERLINK("https://www.boe.es/gazeta/dias/1803/05/13/pdfs/GMD-1803-38.pdf#page=8","Abrir facsímil")</f>
        <v>Abrir facsímil</v>
      </c>
      <c r="K371" s="15" t="s">
        <v>23</v>
      </c>
    </row>
    <row r="372" spans="1:11" ht="42" customHeight="1">
      <c r="A372" s="4" t="s">
        <v>1065</v>
      </c>
      <c r="B372" s="5" t="s">
        <v>1066</v>
      </c>
      <c r="C372" s="5" t="s">
        <v>80</v>
      </c>
      <c r="D372" s="5" t="s">
        <v>81</v>
      </c>
      <c r="E372" s="5" t="s">
        <v>77</v>
      </c>
      <c r="F372" s="9">
        <v>64</v>
      </c>
      <c r="G372" s="9">
        <v>700</v>
      </c>
      <c r="H372" s="5" t="s">
        <v>21</v>
      </c>
      <c r="I372" s="5" t="s">
        <v>1067</v>
      </c>
      <c r="J372" s="12" t="str">
        <f>HYPERLINK("https://www.boe.es/gazeta/dias/1803/08/12/pdfs/GMD-1803-64.pdf#page=8","Abrir facsímil")</f>
        <v>Abrir facsímil</v>
      </c>
      <c r="K372" s="15" t="s">
        <v>23</v>
      </c>
    </row>
    <row r="373" spans="1:11" ht="42" customHeight="1">
      <c r="A373" s="4" t="s">
        <v>1068</v>
      </c>
      <c r="B373" s="5" t="s">
        <v>1069</v>
      </c>
      <c r="C373" s="5" t="s">
        <v>40</v>
      </c>
      <c r="D373" s="5" t="s">
        <v>41</v>
      </c>
      <c r="E373" s="5" t="s">
        <v>272</v>
      </c>
      <c r="F373" s="9">
        <v>25</v>
      </c>
      <c r="G373" s="9">
        <v>261</v>
      </c>
      <c r="H373" s="5" t="s">
        <v>21</v>
      </c>
      <c r="I373" s="5" t="s">
        <v>1070</v>
      </c>
      <c r="J373" s="12" t="str">
        <f>HYPERLINK("https://www.boe.es/gazeta/dias/1803/03/29/pdfs/GMD-1803-25.pdf#page=1","Abrir facsímil")</f>
        <v>Abrir facsímil</v>
      </c>
      <c r="K373" s="15" t="s">
        <v>23</v>
      </c>
    </row>
    <row r="374" spans="1:11" ht="42" customHeight="1">
      <c r="A374" s="4" t="s">
        <v>1071</v>
      </c>
      <c r="B374" s="5" t="s">
        <v>1071</v>
      </c>
      <c r="C374" s="5" t="s">
        <v>40</v>
      </c>
      <c r="D374" s="5" t="s">
        <v>41</v>
      </c>
      <c r="E374" s="5" t="s">
        <v>407</v>
      </c>
      <c r="F374" s="9">
        <v>82</v>
      </c>
      <c r="G374" s="9">
        <v>882</v>
      </c>
      <c r="H374" s="5" t="s">
        <v>21</v>
      </c>
      <c r="I374" s="5" t="s">
        <v>1072</v>
      </c>
      <c r="J374" s="12" t="str">
        <f>HYPERLINK("https://www.boe.es/gazeta/dias/1803/10/11/pdfs/GMD-1803-82.pdf#page=6","Abrir facsímil")</f>
        <v>Abrir facsímil</v>
      </c>
      <c r="K374" s="15" t="s">
        <v>23</v>
      </c>
    </row>
    <row r="375" spans="1:11" ht="42" customHeight="1">
      <c r="A375" s="4" t="s">
        <v>1073</v>
      </c>
      <c r="B375" s="5" t="s">
        <v>1074</v>
      </c>
      <c r="C375" s="5" t="s">
        <v>26</v>
      </c>
      <c r="D375" s="5" t="s">
        <v>27</v>
      </c>
      <c r="E375" s="5" t="s">
        <v>328</v>
      </c>
      <c r="F375" s="9">
        <v>54</v>
      </c>
      <c r="G375" s="9">
        <v>582</v>
      </c>
      <c r="H375" s="5" t="s">
        <v>21</v>
      </c>
      <c r="I375" s="5" t="s">
        <v>1075</v>
      </c>
      <c r="J375" s="12" t="str">
        <f>HYPERLINK("https://www.boe.es/gazeta/dias/1803/07/08/pdfs/GMD-1803-54.pdf#page=2","Abrir facsímil")</f>
        <v>Abrir facsímil</v>
      </c>
      <c r="K375" s="15" t="s">
        <v>23</v>
      </c>
    </row>
    <row r="376" spans="1:11" ht="42" customHeight="1">
      <c r="A376" s="4" t="s">
        <v>1076</v>
      </c>
      <c r="B376" s="5" t="s">
        <v>1076</v>
      </c>
      <c r="C376" s="5" t="s">
        <v>80</v>
      </c>
      <c r="D376" s="5" t="s">
        <v>81</v>
      </c>
      <c r="E376" s="5" t="s">
        <v>189</v>
      </c>
      <c r="F376" s="9">
        <v>9</v>
      </c>
      <c r="G376" s="9">
        <v>96</v>
      </c>
      <c r="H376" s="5" t="s">
        <v>21</v>
      </c>
      <c r="I376" s="5" t="s">
        <v>1077</v>
      </c>
      <c r="J376" s="12" t="str">
        <f>HYPERLINK("https://www.boe.es/gazeta/dias/1803/02/01/pdfs/GMD-1803-9.pdf#page=12","Abrir facsímil")</f>
        <v>Abrir facsímil</v>
      </c>
      <c r="K376" s="15" t="s">
        <v>23</v>
      </c>
    </row>
    <row r="377" spans="1:11" ht="42" customHeight="1">
      <c r="A377" s="4" t="s">
        <v>1078</v>
      </c>
      <c r="B377" s="5" t="s">
        <v>1079</v>
      </c>
      <c r="C377" s="5" t="s">
        <v>80</v>
      </c>
      <c r="D377" s="5" t="s">
        <v>81</v>
      </c>
      <c r="E377" s="5" t="s">
        <v>619</v>
      </c>
      <c r="F377" s="9">
        <v>53</v>
      </c>
      <c r="G377" s="9">
        <v>580</v>
      </c>
      <c r="H377" s="5" t="s">
        <v>21</v>
      </c>
      <c r="I377" s="5" t="s">
        <v>1080</v>
      </c>
      <c r="J377" s="12" t="str">
        <f>HYPERLINK("https://www.boe.es/gazeta/dias/1803/07/05/pdfs/GMD-1803-53.pdf#page=12","Abrir facsímil")</f>
        <v>Abrir facsímil</v>
      </c>
      <c r="K377" s="15" t="s">
        <v>23</v>
      </c>
    </row>
    <row r="378" spans="1:11" ht="42" customHeight="1">
      <c r="A378" s="4" t="s">
        <v>1081</v>
      </c>
      <c r="B378" s="5" t="s">
        <v>1082</v>
      </c>
      <c r="C378" s="5" t="s">
        <v>80</v>
      </c>
      <c r="D378" s="5" t="s">
        <v>81</v>
      </c>
      <c r="E378" s="5" t="s">
        <v>795</v>
      </c>
      <c r="F378" s="9">
        <v>98</v>
      </c>
      <c r="G378" s="9">
        <v>1052</v>
      </c>
      <c r="H378" s="5" t="s">
        <v>21</v>
      </c>
      <c r="I378" s="5" t="s">
        <v>1083</v>
      </c>
      <c r="J378" s="12" t="str">
        <f>HYPERLINK("https://www.boe.es/gazeta/dias/1803/12/06/pdfs/GMD-1803-98.pdf#page=8","Abrir facsímil")</f>
        <v>Abrir facsímil</v>
      </c>
      <c r="K378" s="15" t="s">
        <v>23</v>
      </c>
    </row>
    <row r="379" spans="1:11" ht="42" customHeight="1">
      <c r="A379" s="4" t="s">
        <v>1084</v>
      </c>
      <c r="B379" s="5" t="s">
        <v>1085</v>
      </c>
      <c r="C379" s="5" t="s">
        <v>40</v>
      </c>
      <c r="D379" s="5" t="s">
        <v>41</v>
      </c>
      <c r="E379" s="5" t="s">
        <v>113</v>
      </c>
      <c r="F379" s="9">
        <v>93</v>
      </c>
      <c r="G379" s="9">
        <v>994</v>
      </c>
      <c r="H379" s="5" t="s">
        <v>21</v>
      </c>
      <c r="I379" s="5" t="s">
        <v>1086</v>
      </c>
      <c r="J379" s="12" t="str">
        <f>HYPERLINK("https://www.boe.es/gazeta/dias/1803/11/18/pdfs/GMD-1803-93.pdf#page=6","Abrir facsímil")</f>
        <v>Abrir facsímil</v>
      </c>
      <c r="K379" s="15" t="s">
        <v>23</v>
      </c>
    </row>
    <row r="380" spans="1:11" ht="42" customHeight="1">
      <c r="A380" s="4" t="s">
        <v>1087</v>
      </c>
      <c r="B380" s="5" t="s">
        <v>1088</v>
      </c>
      <c r="C380" s="5" t="s">
        <v>51</v>
      </c>
      <c r="D380" s="5" t="s">
        <v>52</v>
      </c>
      <c r="E380" s="5" t="s">
        <v>501</v>
      </c>
      <c r="F380" s="9">
        <v>22</v>
      </c>
      <c r="G380" s="9">
        <v>237</v>
      </c>
      <c r="H380" s="5" t="s">
        <v>21</v>
      </c>
      <c r="I380" s="5" t="s">
        <v>1089</v>
      </c>
      <c r="J380" s="12" t="str">
        <f>HYPERLINK("https://www.boe.es/gazeta/dias/1803/03/18/pdfs/GMD-1803-22.pdf#page=9","Abrir facsímil")</f>
        <v>Abrir facsímil</v>
      </c>
      <c r="K380" s="15" t="s">
        <v>23</v>
      </c>
    </row>
    <row r="381" spans="1:11" ht="42" customHeight="1">
      <c r="A381" s="4" t="s">
        <v>1090</v>
      </c>
      <c r="B381" s="5" t="s">
        <v>1090</v>
      </c>
      <c r="C381" s="5" t="s">
        <v>18</v>
      </c>
      <c r="D381" s="5" t="s">
        <v>19</v>
      </c>
      <c r="E381" s="5" t="s">
        <v>258</v>
      </c>
      <c r="F381" s="9">
        <v>7</v>
      </c>
      <c r="G381" s="9">
        <v>63</v>
      </c>
      <c r="H381" s="5" t="s">
        <v>21</v>
      </c>
      <c r="I381" s="5" t="s">
        <v>1091</v>
      </c>
      <c r="J381" s="12" t="str">
        <f>HYPERLINK("https://www.boe.es/gazeta/dias/1803/01/25/pdfs/GMD-1803-7.pdf#page=3","Abrir facsímil")</f>
        <v>Abrir facsímil</v>
      </c>
      <c r="K381" s="15" t="s">
        <v>23</v>
      </c>
    </row>
    <row r="382" spans="1:11" ht="42" customHeight="1">
      <c r="A382" s="4" t="s">
        <v>1092</v>
      </c>
      <c r="B382" s="5" t="s">
        <v>1092</v>
      </c>
      <c r="C382" s="5" t="s">
        <v>51</v>
      </c>
      <c r="D382" s="5" t="s">
        <v>52</v>
      </c>
      <c r="E382" s="5" t="s">
        <v>509</v>
      </c>
      <c r="F382" s="9">
        <v>6</v>
      </c>
      <c r="G382" s="9">
        <v>50</v>
      </c>
      <c r="H382" s="5" t="s">
        <v>21</v>
      </c>
      <c r="I382" s="5" t="s">
        <v>1093</v>
      </c>
      <c r="J382" s="12" t="str">
        <f>HYPERLINK("https://www.boe.es/gazeta/dias/1803/01/21/pdfs/GMD-1803-6.pdf#page=2","Abrir facsímil")</f>
        <v>Abrir facsímil</v>
      </c>
      <c r="K382" s="15" t="s">
        <v>23</v>
      </c>
    </row>
    <row r="383" spans="1:11" ht="42" customHeight="1">
      <c r="A383" s="4" t="s">
        <v>1094</v>
      </c>
      <c r="B383" s="5" t="s">
        <v>1095</v>
      </c>
      <c r="C383" s="5" t="s">
        <v>26</v>
      </c>
      <c r="D383" s="5" t="s">
        <v>27</v>
      </c>
      <c r="E383" s="5" t="s">
        <v>657</v>
      </c>
      <c r="F383" s="9">
        <v>24</v>
      </c>
      <c r="G383" s="9">
        <v>256</v>
      </c>
      <c r="H383" s="5" t="s">
        <v>21</v>
      </c>
      <c r="I383" s="5" t="s">
        <v>1096</v>
      </c>
      <c r="J383" s="12" t="str">
        <f>HYPERLINK("https://www.boe.es/gazeta/dias/1803/03/25/pdfs/GMD-1803-24.pdf#page=8","Abrir facsímil")</f>
        <v>Abrir facsímil</v>
      </c>
      <c r="K383" s="15" t="s">
        <v>23</v>
      </c>
    </row>
    <row r="384" spans="1:11" ht="42" customHeight="1">
      <c r="A384" s="4" t="s">
        <v>1097</v>
      </c>
      <c r="B384" s="5" t="s">
        <v>1098</v>
      </c>
      <c r="C384" s="5" t="s">
        <v>26</v>
      </c>
      <c r="D384" s="5" t="s">
        <v>27</v>
      </c>
      <c r="E384" s="5" t="s">
        <v>71</v>
      </c>
      <c r="F384" s="9">
        <v>39</v>
      </c>
      <c r="G384" s="9">
        <v>412</v>
      </c>
      <c r="H384" s="5" t="s">
        <v>21</v>
      </c>
      <c r="I384" s="5" t="s">
        <v>1099</v>
      </c>
      <c r="J384" s="12" t="str">
        <f>HYPERLINK("https://www.boe.es/gazeta/dias/1803/05/17/pdfs/GMD-1803-39.pdf#page=8","Abrir facsímil")</f>
        <v>Abrir facsímil</v>
      </c>
      <c r="K384" s="15" t="s">
        <v>23</v>
      </c>
    </row>
    <row r="385" spans="1:11" ht="42" customHeight="1">
      <c r="A385" s="4" t="s">
        <v>1100</v>
      </c>
      <c r="B385" s="5" t="s">
        <v>1101</v>
      </c>
      <c r="C385" s="5" t="s">
        <v>80</v>
      </c>
      <c r="D385" s="5" t="s">
        <v>81</v>
      </c>
      <c r="E385" s="5" t="s">
        <v>53</v>
      </c>
      <c r="F385" s="9">
        <v>99</v>
      </c>
      <c r="G385" s="9">
        <v>1064</v>
      </c>
      <c r="H385" s="5" t="s">
        <v>21</v>
      </c>
      <c r="I385" s="5" t="s">
        <v>1102</v>
      </c>
      <c r="J385" s="12" t="str">
        <f>HYPERLINK("https://www.boe.es/gazeta/dias/1803/12/09/pdfs/GMD-1803-99.pdf#page=12","Abrir facsímil")</f>
        <v>Abrir facsímil</v>
      </c>
      <c r="K385" s="15" t="s">
        <v>23</v>
      </c>
    </row>
    <row r="386" spans="1:11" ht="42" customHeight="1">
      <c r="A386" s="4" t="s">
        <v>1103</v>
      </c>
      <c r="B386" s="5" t="s">
        <v>1104</v>
      </c>
      <c r="C386" s="5" t="s">
        <v>26</v>
      </c>
      <c r="D386" s="5" t="s">
        <v>27</v>
      </c>
      <c r="E386" s="5" t="s">
        <v>156</v>
      </c>
      <c r="F386" s="9">
        <v>2</v>
      </c>
      <c r="G386" s="9">
        <v>17</v>
      </c>
      <c r="H386" s="5" t="s">
        <v>21</v>
      </c>
      <c r="I386" s="5" t="s">
        <v>1105</v>
      </c>
      <c r="J386" s="12" t="str">
        <f>HYPERLINK("https://www.boe.es/gazeta/dias/1803/01/07/pdfs/GMD-1803-2.pdf#page=9","Abrir facsímil")</f>
        <v>Abrir facsímil</v>
      </c>
      <c r="K386" s="15" t="s">
        <v>23</v>
      </c>
    </row>
    <row r="387" spans="1:11" ht="42" customHeight="1">
      <c r="A387" s="4" t="s">
        <v>1106</v>
      </c>
      <c r="B387" s="5" t="s">
        <v>1107</v>
      </c>
      <c r="C387" s="5" t="s">
        <v>51</v>
      </c>
      <c r="D387" s="5" t="s">
        <v>52</v>
      </c>
      <c r="E387" s="5" t="s">
        <v>509</v>
      </c>
      <c r="F387" s="9">
        <v>6</v>
      </c>
      <c r="G387" s="9">
        <v>53</v>
      </c>
      <c r="H387" s="5" t="s">
        <v>21</v>
      </c>
      <c r="I387" s="5" t="s">
        <v>1108</v>
      </c>
      <c r="J387" s="12" t="str">
        <f>HYPERLINK("https://www.boe.es/gazeta/dias/1803/01/21/pdfs/GMD-1803-6.pdf#page=5","Abrir facsímil")</f>
        <v>Abrir facsímil</v>
      </c>
      <c r="K387" s="15" t="s">
        <v>23</v>
      </c>
    </row>
    <row r="388" spans="1:11" ht="42" customHeight="1">
      <c r="A388" s="4" t="s">
        <v>1106</v>
      </c>
      <c r="B388" s="5" t="s">
        <v>1107</v>
      </c>
      <c r="C388" s="5" t="s">
        <v>51</v>
      </c>
      <c r="D388" s="5" t="s">
        <v>52</v>
      </c>
      <c r="E388" s="5" t="s">
        <v>148</v>
      </c>
      <c r="F388" s="9">
        <v>15</v>
      </c>
      <c r="G388" s="9">
        <v>155</v>
      </c>
      <c r="H388" s="5" t="s">
        <v>21</v>
      </c>
      <c r="I388" s="5" t="s">
        <v>1109</v>
      </c>
      <c r="J388" s="12" t="str">
        <f>HYPERLINK("https://www.boe.es/gazeta/dias/1803/02/22/pdfs/GMD-1803-15.pdf#page=7","Abrir facsímil")</f>
        <v>Abrir facsímil</v>
      </c>
      <c r="K388" s="15" t="s">
        <v>23</v>
      </c>
    </row>
    <row r="389" spans="1:11" ht="42" customHeight="1">
      <c r="A389" s="4" t="s">
        <v>1110</v>
      </c>
      <c r="B389" s="5" t="s">
        <v>1111</v>
      </c>
      <c r="C389" s="5" t="s">
        <v>40</v>
      </c>
      <c r="D389" s="5" t="s">
        <v>41</v>
      </c>
      <c r="E389" s="5" t="s">
        <v>124</v>
      </c>
      <c r="F389" s="9">
        <v>20</v>
      </c>
      <c r="G389" s="9">
        <v>208</v>
      </c>
      <c r="H389" s="5" t="s">
        <v>21</v>
      </c>
      <c r="I389" s="5" t="s">
        <v>1112</v>
      </c>
      <c r="J389" s="12" t="str">
        <f>HYPERLINK("https://www.boe.es/gazeta/dias/1803/03/11/pdfs/GMD-1803-20.pdf#page=4","Abrir facsímil")</f>
        <v>Abrir facsímil</v>
      </c>
      <c r="K389" s="15" t="s">
        <v>23</v>
      </c>
    </row>
    <row r="390" spans="1:11" ht="42" customHeight="1">
      <c r="A390" s="4" t="s">
        <v>1113</v>
      </c>
      <c r="B390" s="5" t="s">
        <v>1114</v>
      </c>
      <c r="C390" s="5" t="s">
        <v>26</v>
      </c>
      <c r="D390" s="5" t="s">
        <v>27</v>
      </c>
      <c r="E390" s="5" t="s">
        <v>47</v>
      </c>
      <c r="F390" s="9">
        <v>33</v>
      </c>
      <c r="G390" s="9">
        <v>349</v>
      </c>
      <c r="H390" s="5" t="s">
        <v>21</v>
      </c>
      <c r="I390" s="5" t="s">
        <v>1115</v>
      </c>
      <c r="J390" s="12" t="str">
        <f>HYPERLINK("https://www.boe.es/gazeta/dias/1803/04/26/pdfs/GMD-1803-33.pdf#page=9","Abrir facsímil")</f>
        <v>Abrir facsímil</v>
      </c>
      <c r="K390" s="15" t="s">
        <v>23</v>
      </c>
    </row>
    <row r="391" spans="1:11" ht="42" customHeight="1">
      <c r="A391" s="4" t="s">
        <v>1116</v>
      </c>
      <c r="B391" s="5" t="s">
        <v>1117</v>
      </c>
      <c r="C391" s="5" t="s">
        <v>40</v>
      </c>
      <c r="D391" s="5" t="s">
        <v>41</v>
      </c>
      <c r="E391" s="5" t="s">
        <v>588</v>
      </c>
      <c r="F391" s="9">
        <v>63</v>
      </c>
      <c r="G391" s="9">
        <v>683</v>
      </c>
      <c r="H391" s="5" t="s">
        <v>21</v>
      </c>
      <c r="I391" s="5" t="s">
        <v>1118</v>
      </c>
      <c r="J391" s="12" t="str">
        <f>HYPERLINK("https://www.boe.es/gazeta/dias/1803/08/09/pdfs/GMD-1803-63.pdf#page=3","Abrir facsímil")</f>
        <v>Abrir facsímil</v>
      </c>
      <c r="K391" s="15" t="s">
        <v>23</v>
      </c>
    </row>
    <row r="392" spans="1:11" ht="42" customHeight="1">
      <c r="A392" s="4" t="s">
        <v>1119</v>
      </c>
      <c r="B392" s="5" t="s">
        <v>1120</v>
      </c>
      <c r="C392" s="5" t="s">
        <v>18</v>
      </c>
      <c r="D392" s="5" t="s">
        <v>19</v>
      </c>
      <c r="E392" s="5" t="s">
        <v>83</v>
      </c>
      <c r="F392" s="9">
        <v>28</v>
      </c>
      <c r="G392" s="9">
        <v>303</v>
      </c>
      <c r="H392" s="5" t="s">
        <v>21</v>
      </c>
      <c r="I392" s="5" t="s">
        <v>1121</v>
      </c>
      <c r="J392" s="12" t="str">
        <f>HYPERLINK("https://www.boe.es/gazeta/dias/1803/04/08/pdfs/GMD-1803-28.pdf#page=7","Abrir facsímil")</f>
        <v>Abrir facsímil</v>
      </c>
      <c r="K392" s="15" t="s">
        <v>23</v>
      </c>
    </row>
    <row r="393" spans="1:11" ht="42" customHeight="1">
      <c r="A393" s="4" t="s">
        <v>1122</v>
      </c>
      <c r="B393" s="5" t="s">
        <v>1123</v>
      </c>
      <c r="C393" s="5" t="s">
        <v>46</v>
      </c>
      <c r="D393" s="5" t="s">
        <v>19</v>
      </c>
      <c r="E393" s="5" t="s">
        <v>261</v>
      </c>
      <c r="F393" s="9">
        <v>70</v>
      </c>
      <c r="G393" s="9">
        <v>768</v>
      </c>
      <c r="H393" s="5" t="s">
        <v>21</v>
      </c>
      <c r="I393" s="5" t="s">
        <v>1124</v>
      </c>
      <c r="J393" s="12" t="str">
        <f>HYPERLINK("https://www.boe.es/gazeta/dias/1803/09/02/pdfs/GMD-1803-70.pdf#page=8","Abrir facsímil")</f>
        <v>Abrir facsímil</v>
      </c>
      <c r="K393" s="15" t="s">
        <v>23</v>
      </c>
    </row>
    <row r="394" spans="1:11" ht="42" customHeight="1">
      <c r="A394" s="4" t="s">
        <v>1125</v>
      </c>
      <c r="B394" s="5" t="s">
        <v>1126</v>
      </c>
      <c r="C394" s="5" t="s">
        <v>51</v>
      </c>
      <c r="D394" s="5" t="s">
        <v>52</v>
      </c>
      <c r="E394" s="5" t="s">
        <v>289</v>
      </c>
      <c r="F394" s="9">
        <v>38</v>
      </c>
      <c r="G394" s="9">
        <v>401</v>
      </c>
      <c r="H394" s="5" t="s">
        <v>21</v>
      </c>
      <c r="I394" s="5" t="s">
        <v>1127</v>
      </c>
      <c r="J394" s="12" t="str">
        <f>HYPERLINK("https://www.boe.es/gazeta/dias/1803/05/13/pdfs/GMD-1803-38.pdf#page=9","Abrir facsímil")</f>
        <v>Abrir facsímil</v>
      </c>
      <c r="K394" s="15" t="s">
        <v>23</v>
      </c>
    </row>
    <row r="395" spans="1:11" ht="42" customHeight="1">
      <c r="A395" s="4" t="s">
        <v>1128</v>
      </c>
      <c r="B395" s="5" t="s">
        <v>1129</v>
      </c>
      <c r="C395" s="5" t="s">
        <v>26</v>
      </c>
      <c r="D395" s="5" t="s">
        <v>27</v>
      </c>
      <c r="E395" s="5" t="s">
        <v>501</v>
      </c>
      <c r="F395" s="9">
        <v>22</v>
      </c>
      <c r="G395" s="9">
        <v>238</v>
      </c>
      <c r="H395" s="5" t="s">
        <v>21</v>
      </c>
      <c r="I395" s="5" t="s">
        <v>1130</v>
      </c>
      <c r="J395" s="12" t="str">
        <f>HYPERLINK("https://www.boe.es/gazeta/dias/1803/03/18/pdfs/GMD-1803-22.pdf#page=10","Abrir facsímil")</f>
        <v>Abrir facsímil</v>
      </c>
      <c r="K395" s="15" t="s">
        <v>23</v>
      </c>
    </row>
    <row r="396" spans="1:11" ht="42" customHeight="1">
      <c r="A396" s="4" t="s">
        <v>1131</v>
      </c>
      <c r="B396" s="5" t="s">
        <v>1132</v>
      </c>
      <c r="C396" s="5" t="s">
        <v>18</v>
      </c>
      <c r="D396" s="5" t="s">
        <v>19</v>
      </c>
      <c r="E396" s="5" t="s">
        <v>218</v>
      </c>
      <c r="F396" s="9">
        <v>19</v>
      </c>
      <c r="G396" s="9">
        <v>201</v>
      </c>
      <c r="H396" s="5" t="s">
        <v>21</v>
      </c>
      <c r="I396" s="5" t="s">
        <v>1133</v>
      </c>
      <c r="J396" s="12" t="str">
        <f>HYPERLINK("https://www.boe.es/gazeta/dias/1803/03/08/pdfs/GMD-1803-19.pdf#page=9","Abrir facsímil")</f>
        <v>Abrir facsímil</v>
      </c>
      <c r="K396" s="15" t="s">
        <v>23</v>
      </c>
    </row>
    <row r="397" spans="1:11" ht="42" customHeight="1">
      <c r="A397" s="4" t="s">
        <v>1134</v>
      </c>
      <c r="B397" s="5" t="s">
        <v>1135</v>
      </c>
      <c r="C397" s="5" t="s">
        <v>26</v>
      </c>
      <c r="D397" s="5" t="s">
        <v>27</v>
      </c>
      <c r="E397" s="5" t="s">
        <v>403</v>
      </c>
      <c r="F397" s="9">
        <v>91</v>
      </c>
      <c r="G397" s="9">
        <v>977</v>
      </c>
      <c r="H397" s="5" t="s">
        <v>21</v>
      </c>
      <c r="I397" s="5" t="s">
        <v>1136</v>
      </c>
      <c r="J397" s="12" t="str">
        <f>HYPERLINK("https://www.boe.es/gazeta/dias/1803/11/11/pdfs/GMD-1803-91.pdf#page=9","Abrir facsímil")</f>
        <v>Abrir facsímil</v>
      </c>
      <c r="K397" s="15" t="s">
        <v>23</v>
      </c>
    </row>
    <row r="398" spans="1:11" ht="42" customHeight="1">
      <c r="A398" s="4" t="s">
        <v>1137</v>
      </c>
      <c r="B398" s="5" t="s">
        <v>1138</v>
      </c>
      <c r="C398" s="5" t="s">
        <v>40</v>
      </c>
      <c r="D398" s="5" t="s">
        <v>41</v>
      </c>
      <c r="E398" s="5" t="s">
        <v>20</v>
      </c>
      <c r="F398" s="9">
        <v>97</v>
      </c>
      <c r="G398" s="9">
        <v>1040</v>
      </c>
      <c r="H398" s="5" t="s">
        <v>21</v>
      </c>
      <c r="I398" s="5" t="s">
        <v>1139</v>
      </c>
      <c r="J398" s="12" t="str">
        <f>HYPERLINK("https://www.boe.es/gazeta/dias/1803/12/02/pdfs/GMD-1803-97.pdf#page=4","Abrir facsímil")</f>
        <v>Abrir facsímil</v>
      </c>
      <c r="K398" s="15" t="s">
        <v>23</v>
      </c>
    </row>
    <row r="399" spans="1:11" ht="42" customHeight="1">
      <c r="A399" s="4" t="s">
        <v>1140</v>
      </c>
      <c r="B399" s="5" t="s">
        <v>1141</v>
      </c>
      <c r="C399" s="5" t="s">
        <v>80</v>
      </c>
      <c r="D399" s="5" t="s">
        <v>81</v>
      </c>
      <c r="E399" s="5" t="s">
        <v>373</v>
      </c>
      <c r="F399" s="9">
        <v>77</v>
      </c>
      <c r="G399" s="9">
        <v>831</v>
      </c>
      <c r="H399" s="5" t="s">
        <v>21</v>
      </c>
      <c r="I399" s="5" t="s">
        <v>1142</v>
      </c>
      <c r="J399" s="12" t="str">
        <f>HYPERLINK("https://www.boe.es/gazeta/dias/1803/09/23/pdfs/GMD-1803-77.pdf#page=7","Abrir facsímil")</f>
        <v>Abrir facsímil</v>
      </c>
      <c r="K399" s="15" t="s">
        <v>23</v>
      </c>
    </row>
    <row r="400" spans="1:11" ht="42" customHeight="1">
      <c r="A400" s="4" t="s">
        <v>1143</v>
      </c>
      <c r="B400" s="5" t="s">
        <v>1144</v>
      </c>
      <c r="C400" s="5" t="s">
        <v>26</v>
      </c>
      <c r="D400" s="5" t="s">
        <v>27</v>
      </c>
      <c r="E400" s="5" t="s">
        <v>501</v>
      </c>
      <c r="F400" s="9">
        <v>22</v>
      </c>
      <c r="G400" s="9">
        <v>237</v>
      </c>
      <c r="H400" s="5" t="s">
        <v>21</v>
      </c>
      <c r="I400" s="5" t="s">
        <v>1145</v>
      </c>
      <c r="J400" s="12" t="str">
        <f>HYPERLINK("https://www.boe.es/gazeta/dias/1803/03/18/pdfs/GMD-1803-22.pdf#page=9","Abrir facsímil")</f>
        <v>Abrir facsímil</v>
      </c>
      <c r="K400" s="15" t="s">
        <v>23</v>
      </c>
    </row>
    <row r="401" spans="1:11" ht="42" customHeight="1">
      <c r="A401" s="4" t="s">
        <v>1146</v>
      </c>
      <c r="B401" s="5" t="s">
        <v>1147</v>
      </c>
      <c r="C401" s="5" t="s">
        <v>18</v>
      </c>
      <c r="D401" s="5" t="s">
        <v>19</v>
      </c>
      <c r="E401" s="5" t="s">
        <v>340</v>
      </c>
      <c r="F401" s="9">
        <v>55</v>
      </c>
      <c r="G401" s="9">
        <v>602</v>
      </c>
      <c r="H401" s="5" t="s">
        <v>21</v>
      </c>
      <c r="I401" s="5" t="s">
        <v>1148</v>
      </c>
      <c r="J401" s="12" t="str">
        <f>HYPERLINK("https://www.boe.es/gazeta/dias/1803/07/12/pdfs/GMD-1803-55.pdf#page=10","Abrir facsímil")</f>
        <v>Abrir facsímil</v>
      </c>
      <c r="K401" s="15" t="s">
        <v>23</v>
      </c>
    </row>
    <row r="402" spans="1:11" ht="42" customHeight="1">
      <c r="A402" s="4" t="s">
        <v>1149</v>
      </c>
      <c r="B402" s="5" t="s">
        <v>1150</v>
      </c>
      <c r="C402" s="5" t="s">
        <v>26</v>
      </c>
      <c r="D402" s="5" t="s">
        <v>27</v>
      </c>
      <c r="E402" s="5" t="s">
        <v>523</v>
      </c>
      <c r="F402" s="9">
        <v>101</v>
      </c>
      <c r="G402" s="9">
        <v>1087</v>
      </c>
      <c r="H402" s="5" t="s">
        <v>21</v>
      </c>
      <c r="I402" s="5" t="s">
        <v>1151</v>
      </c>
      <c r="J402" s="12" t="str">
        <f>HYPERLINK("https://www.boe.es/gazeta/dias/1803/12/16/pdfs/GMD-1803-101.pdf#page=11","Abrir facsímil")</f>
        <v>Abrir facsímil</v>
      </c>
      <c r="K402" s="15" t="s">
        <v>23</v>
      </c>
    </row>
    <row r="403" spans="1:11" ht="42" customHeight="1">
      <c r="A403" s="4" t="s">
        <v>1152</v>
      </c>
      <c r="B403" s="5" t="s">
        <v>1153</v>
      </c>
      <c r="C403" s="5" t="s">
        <v>26</v>
      </c>
      <c r="D403" s="5" t="s">
        <v>27</v>
      </c>
      <c r="E403" s="5" t="s">
        <v>340</v>
      </c>
      <c r="F403" s="9">
        <v>55</v>
      </c>
      <c r="G403" s="9">
        <v>598</v>
      </c>
      <c r="H403" s="5" t="s">
        <v>21</v>
      </c>
      <c r="I403" s="5" t="s">
        <v>1154</v>
      </c>
      <c r="J403" s="12" t="str">
        <f>HYPERLINK("https://www.boe.es/gazeta/dias/1803/07/12/pdfs/GMD-1803-55.pdf#page=6","Abrir facsímil")</f>
        <v>Abrir facsímil</v>
      </c>
      <c r="K403" s="15" t="s">
        <v>23</v>
      </c>
    </row>
    <row r="404" spans="1:11" ht="42" customHeight="1">
      <c r="A404" s="4" t="s">
        <v>1155</v>
      </c>
      <c r="B404" s="5" t="s">
        <v>1156</v>
      </c>
      <c r="C404" s="5" t="s">
        <v>80</v>
      </c>
      <c r="D404" s="5" t="s">
        <v>81</v>
      </c>
      <c r="E404" s="5" t="s">
        <v>289</v>
      </c>
      <c r="F404" s="9">
        <v>38</v>
      </c>
      <c r="G404" s="9">
        <v>399</v>
      </c>
      <c r="H404" s="5" t="s">
        <v>21</v>
      </c>
      <c r="I404" s="5" t="s">
        <v>1157</v>
      </c>
      <c r="J404" s="12" t="str">
        <f>HYPERLINK("https://www.boe.es/gazeta/dias/1803/05/13/pdfs/GMD-1803-38.pdf#page=7","Abrir facsímil")</f>
        <v>Abrir facsímil</v>
      </c>
      <c r="K404" s="15" t="s">
        <v>23</v>
      </c>
    </row>
    <row r="405" spans="1:11" ht="42" customHeight="1">
      <c r="A405" s="4" t="s">
        <v>1158</v>
      </c>
      <c r="B405" s="5" t="s">
        <v>1159</v>
      </c>
      <c r="C405" s="5" t="s">
        <v>18</v>
      </c>
      <c r="D405" s="5" t="s">
        <v>19</v>
      </c>
      <c r="E405" s="5" t="s">
        <v>160</v>
      </c>
      <c r="F405" s="9">
        <v>81</v>
      </c>
      <c r="G405" s="9">
        <v>872</v>
      </c>
      <c r="H405" s="5" t="s">
        <v>21</v>
      </c>
      <c r="I405" s="5" t="s">
        <v>1160</v>
      </c>
      <c r="J405" s="12" t="str">
        <f>HYPERLINK("https://www.boe.es/gazeta/dias/1803/10/07/pdfs/GMD-1803-81.pdf#page=8","Abrir facsímil")</f>
        <v>Abrir facsímil</v>
      </c>
      <c r="K405" s="15" t="s">
        <v>23</v>
      </c>
    </row>
    <row r="406" spans="1:11" ht="42" customHeight="1">
      <c r="A406" s="4" t="s">
        <v>1161</v>
      </c>
      <c r="B406" s="5" t="s">
        <v>1162</v>
      </c>
      <c r="C406" s="5" t="s">
        <v>18</v>
      </c>
      <c r="D406" s="5" t="s">
        <v>19</v>
      </c>
      <c r="E406" s="5" t="s">
        <v>272</v>
      </c>
      <c r="F406" s="9">
        <v>25</v>
      </c>
      <c r="G406" s="9">
        <v>264</v>
      </c>
      <c r="H406" s="5" t="s">
        <v>21</v>
      </c>
      <c r="I406" s="5" t="s">
        <v>1163</v>
      </c>
      <c r="J406" s="12" t="str">
        <f>HYPERLINK("https://www.boe.es/gazeta/dias/1803/03/29/pdfs/GMD-1803-25.pdf#page=4","Abrir facsímil")</f>
        <v>Abrir facsímil</v>
      </c>
      <c r="K406" s="15" t="s">
        <v>23</v>
      </c>
    </row>
    <row r="407" spans="1:11" ht="42" customHeight="1">
      <c r="A407" s="4" t="s">
        <v>1164</v>
      </c>
      <c r="B407" s="5" t="s">
        <v>1165</v>
      </c>
      <c r="C407" s="5" t="s">
        <v>26</v>
      </c>
      <c r="D407" s="5" t="s">
        <v>27</v>
      </c>
      <c r="E407" s="5" t="s">
        <v>191</v>
      </c>
      <c r="F407" s="9">
        <v>34</v>
      </c>
      <c r="G407" s="9">
        <v>358</v>
      </c>
      <c r="H407" s="5" t="s">
        <v>21</v>
      </c>
      <c r="I407" s="5" t="s">
        <v>1166</v>
      </c>
      <c r="J407" s="12" t="str">
        <f>HYPERLINK("https://www.boe.es/gazeta/dias/1803/04/29/pdfs/GMD-1803-34.pdf#page=6","Abrir facsímil")</f>
        <v>Abrir facsímil</v>
      </c>
      <c r="K407" s="15" t="s">
        <v>23</v>
      </c>
    </row>
    <row r="408" spans="1:11" ht="42" customHeight="1">
      <c r="A408" s="4" t="s">
        <v>1167</v>
      </c>
      <c r="B408" s="5" t="s">
        <v>1168</v>
      </c>
      <c r="C408" s="5" t="s">
        <v>51</v>
      </c>
      <c r="D408" s="5" t="s">
        <v>52</v>
      </c>
      <c r="E408" s="5" t="s">
        <v>83</v>
      </c>
      <c r="F408" s="9">
        <v>28</v>
      </c>
      <c r="G408" s="9">
        <v>303</v>
      </c>
      <c r="H408" s="5" t="s">
        <v>21</v>
      </c>
      <c r="I408" s="5" t="s">
        <v>1169</v>
      </c>
      <c r="J408" s="12" t="str">
        <f>HYPERLINK("https://www.boe.es/gazeta/dias/1803/04/08/pdfs/GMD-1803-28.pdf#page=7","Abrir facsímil")</f>
        <v>Abrir facsímil</v>
      </c>
      <c r="K408" s="15" t="s">
        <v>23</v>
      </c>
    </row>
    <row r="409" spans="1:11" ht="42" customHeight="1">
      <c r="A409" s="4" t="s">
        <v>1170</v>
      </c>
      <c r="B409" s="5" t="s">
        <v>1171</v>
      </c>
      <c r="C409" s="5" t="s">
        <v>26</v>
      </c>
      <c r="D409" s="5" t="s">
        <v>27</v>
      </c>
      <c r="E409" s="5" t="s">
        <v>191</v>
      </c>
      <c r="F409" s="9">
        <v>34</v>
      </c>
      <c r="G409" s="9">
        <v>358</v>
      </c>
      <c r="H409" s="5" t="s">
        <v>21</v>
      </c>
      <c r="I409" s="5" t="s">
        <v>1172</v>
      </c>
      <c r="J409" s="12" t="str">
        <f>HYPERLINK("https://www.boe.es/gazeta/dias/1803/04/29/pdfs/GMD-1803-34.pdf#page=6","Abrir facsímil")</f>
        <v>Abrir facsímil</v>
      </c>
      <c r="K409" s="15" t="s">
        <v>23</v>
      </c>
    </row>
    <row r="410" spans="1:11" ht="42" customHeight="1">
      <c r="A410" s="4" t="s">
        <v>1173</v>
      </c>
      <c r="B410" s="5" t="s">
        <v>1173</v>
      </c>
      <c r="C410" s="5" t="s">
        <v>26</v>
      </c>
      <c r="D410" s="5" t="s">
        <v>27</v>
      </c>
      <c r="E410" s="5" t="s">
        <v>293</v>
      </c>
      <c r="F410" s="9">
        <v>45</v>
      </c>
      <c r="G410" s="9">
        <v>468</v>
      </c>
      <c r="H410" s="5" t="s">
        <v>21</v>
      </c>
      <c r="I410" s="5" t="s">
        <v>1174</v>
      </c>
      <c r="J410" s="12" t="str">
        <f>HYPERLINK("https://www.boe.es/gazeta/dias/1803/06/07/pdfs/GMD-1803-45.pdf#page=4","Abrir facsímil")</f>
        <v>Abrir facsímil</v>
      </c>
      <c r="K410" s="15" t="s">
        <v>23</v>
      </c>
    </row>
    <row r="411" spans="1:11" ht="42" customHeight="1">
      <c r="A411" s="4" t="s">
        <v>1175</v>
      </c>
      <c r="B411" s="5" t="s">
        <v>1176</v>
      </c>
      <c r="C411" s="5" t="s">
        <v>26</v>
      </c>
      <c r="D411" s="5" t="s">
        <v>27</v>
      </c>
      <c r="E411" s="5" t="s">
        <v>203</v>
      </c>
      <c r="F411" s="9">
        <v>32</v>
      </c>
      <c r="G411" s="9">
        <v>336</v>
      </c>
      <c r="H411" s="5" t="s">
        <v>21</v>
      </c>
      <c r="I411" s="5" t="s">
        <v>1177</v>
      </c>
      <c r="J411" s="12" t="str">
        <f>HYPERLINK("https://www.boe.es/gazeta/dias/1803/04/22/pdfs/GMD-1803-32.pdf#page=8","Abrir facsímil")</f>
        <v>Abrir facsímil</v>
      </c>
      <c r="K411" s="15" t="s">
        <v>23</v>
      </c>
    </row>
    <row r="412" spans="1:11" ht="42" customHeight="1">
      <c r="A412" s="4" t="s">
        <v>1175</v>
      </c>
      <c r="B412" s="5" t="s">
        <v>1176</v>
      </c>
      <c r="C412" s="5" t="s">
        <v>51</v>
      </c>
      <c r="D412" s="5" t="s">
        <v>52</v>
      </c>
      <c r="E412" s="5" t="s">
        <v>417</v>
      </c>
      <c r="F412" s="9">
        <v>72</v>
      </c>
      <c r="G412" s="9">
        <v>786</v>
      </c>
      <c r="H412" s="5" t="s">
        <v>21</v>
      </c>
      <c r="I412" s="5" t="s">
        <v>1178</v>
      </c>
      <c r="J412" s="12" t="str">
        <f>HYPERLINK("https://www.boe.es/gazeta/dias/1803/09/09/pdfs/GMD-1803-72.pdf#page=6","Abrir facsímil")</f>
        <v>Abrir facsímil</v>
      </c>
      <c r="K412" s="15" t="s">
        <v>23</v>
      </c>
    </row>
    <row r="413" spans="1:11" ht="42" customHeight="1">
      <c r="A413" s="4" t="s">
        <v>1179</v>
      </c>
      <c r="B413" s="5" t="s">
        <v>1180</v>
      </c>
      <c r="C413" s="5" t="s">
        <v>26</v>
      </c>
      <c r="D413" s="5" t="s">
        <v>27</v>
      </c>
      <c r="E413" s="5" t="s">
        <v>57</v>
      </c>
      <c r="F413" s="9">
        <v>51</v>
      </c>
      <c r="G413" s="9">
        <v>553</v>
      </c>
      <c r="H413" s="5" t="s">
        <v>21</v>
      </c>
      <c r="I413" s="5" t="s">
        <v>1181</v>
      </c>
      <c r="J413" s="12" t="str">
        <f>HYPERLINK("https://www.boe.es/gazeta/dias/1803/06/28/pdfs/GMD-1803-51.pdf#page=9","Abrir facsímil")</f>
        <v>Abrir facsímil</v>
      </c>
      <c r="K413" s="15" t="s">
        <v>23</v>
      </c>
    </row>
    <row r="414" spans="1:11" ht="42" customHeight="1">
      <c r="A414" s="4" t="s">
        <v>1182</v>
      </c>
      <c r="B414" s="5" t="s">
        <v>1183</v>
      </c>
      <c r="C414" s="5" t="s">
        <v>80</v>
      </c>
      <c r="D414" s="5" t="s">
        <v>81</v>
      </c>
      <c r="E414" s="5" t="s">
        <v>571</v>
      </c>
      <c r="F414" s="9">
        <v>103</v>
      </c>
      <c r="G414" s="9">
        <v>1108</v>
      </c>
      <c r="H414" s="5" t="s">
        <v>21</v>
      </c>
      <c r="I414" s="5" t="s">
        <v>1184</v>
      </c>
      <c r="J414" s="12" t="str">
        <f>HYPERLINK("https://www.boe.es/gazeta/dias/1803/12/23/pdfs/GMD-1803-103.pdf#page=8","Abrir facsímil")</f>
        <v>Abrir facsímil</v>
      </c>
      <c r="K414" s="15" t="s">
        <v>23</v>
      </c>
    </row>
    <row r="415" spans="1:11" ht="42" customHeight="1">
      <c r="A415" s="4" t="s">
        <v>1185</v>
      </c>
      <c r="B415" s="5" t="s">
        <v>1186</v>
      </c>
      <c r="C415" s="5" t="s">
        <v>26</v>
      </c>
      <c r="D415" s="5" t="s">
        <v>27</v>
      </c>
      <c r="E415" s="5" t="s">
        <v>203</v>
      </c>
      <c r="F415" s="9">
        <v>32</v>
      </c>
      <c r="G415" s="9">
        <v>337</v>
      </c>
      <c r="H415" s="5" t="s">
        <v>21</v>
      </c>
      <c r="I415" s="5" t="s">
        <v>1187</v>
      </c>
      <c r="J415" s="12" t="str">
        <f>HYPERLINK("https://www.boe.es/gazeta/dias/1803/04/22/pdfs/GMD-1803-32.pdf#page=9","Abrir facsímil")</f>
        <v>Abrir facsímil</v>
      </c>
      <c r="K415" s="15" t="s">
        <v>23</v>
      </c>
    </row>
    <row r="416" spans="1:11" ht="42" customHeight="1">
      <c r="A416" s="4" t="s">
        <v>1188</v>
      </c>
      <c r="B416" s="5" t="s">
        <v>1189</v>
      </c>
      <c r="C416" s="5" t="s">
        <v>26</v>
      </c>
      <c r="D416" s="5" t="s">
        <v>27</v>
      </c>
      <c r="E416" s="5" t="s">
        <v>148</v>
      </c>
      <c r="F416" s="9">
        <v>15</v>
      </c>
      <c r="G416" s="9">
        <v>157</v>
      </c>
      <c r="H416" s="5" t="s">
        <v>21</v>
      </c>
      <c r="I416" s="5" t="s">
        <v>1190</v>
      </c>
      <c r="J416" s="12" t="str">
        <f>HYPERLINK("https://www.boe.es/gazeta/dias/1803/02/22/pdfs/GMD-1803-15.pdf#page=9","Abrir facsímil")</f>
        <v>Abrir facsímil</v>
      </c>
      <c r="K416" s="15" t="s">
        <v>23</v>
      </c>
    </row>
    <row r="417" spans="1:11" ht="42" customHeight="1">
      <c r="A417" s="4" t="s">
        <v>1191</v>
      </c>
      <c r="B417" s="5" t="s">
        <v>1192</v>
      </c>
      <c r="C417" s="5" t="s">
        <v>26</v>
      </c>
      <c r="D417" s="5" t="s">
        <v>27</v>
      </c>
      <c r="E417" s="5" t="s">
        <v>71</v>
      </c>
      <c r="F417" s="9">
        <v>39</v>
      </c>
      <c r="G417" s="9">
        <v>413</v>
      </c>
      <c r="H417" s="5" t="s">
        <v>21</v>
      </c>
      <c r="I417" s="5" t="s">
        <v>1193</v>
      </c>
      <c r="J417" s="12" t="str">
        <f>HYPERLINK("https://www.boe.es/gazeta/dias/1803/05/17/pdfs/GMD-1803-39.pdf#page=9","Abrir facsímil")</f>
        <v>Abrir facsímil</v>
      </c>
      <c r="K417" s="15" t="s">
        <v>23</v>
      </c>
    </row>
    <row r="418" spans="1:11" ht="42" customHeight="1">
      <c r="A418" s="4" t="s">
        <v>1194</v>
      </c>
      <c r="B418" s="5" t="s">
        <v>1195</v>
      </c>
      <c r="C418" s="5" t="s">
        <v>26</v>
      </c>
      <c r="D418" s="5" t="s">
        <v>27</v>
      </c>
      <c r="E418" s="5" t="s">
        <v>214</v>
      </c>
      <c r="F418" s="9">
        <v>17</v>
      </c>
      <c r="G418" s="9">
        <v>179</v>
      </c>
      <c r="H418" s="5" t="s">
        <v>21</v>
      </c>
      <c r="I418" s="5" t="s">
        <v>1196</v>
      </c>
      <c r="J418" s="12" t="str">
        <f>HYPERLINK("https://www.boe.es/gazeta/dias/1803/03/01/pdfs/GMD-1803-17.pdf#page=11","Abrir facsímil")</f>
        <v>Abrir facsímil</v>
      </c>
      <c r="K418" s="15" t="s">
        <v>23</v>
      </c>
    </row>
    <row r="419" spans="1:11" ht="42" customHeight="1">
      <c r="A419" s="4" t="s">
        <v>1197</v>
      </c>
      <c r="B419" s="5" t="s">
        <v>1197</v>
      </c>
      <c r="C419" s="5" t="s">
        <v>40</v>
      </c>
      <c r="D419" s="5" t="s">
        <v>41</v>
      </c>
      <c r="E419" s="5" t="s">
        <v>417</v>
      </c>
      <c r="F419" s="9">
        <v>72</v>
      </c>
      <c r="G419" s="9">
        <v>782</v>
      </c>
      <c r="H419" s="5" t="s">
        <v>21</v>
      </c>
      <c r="I419" s="5" t="s">
        <v>1198</v>
      </c>
      <c r="J419" s="12" t="str">
        <f>HYPERLINK("https://www.boe.es/gazeta/dias/1803/09/09/pdfs/GMD-1803-72.pdf#page=2","Abrir facsímil")</f>
        <v>Abrir facsímil</v>
      </c>
      <c r="K419" s="15" t="s">
        <v>23</v>
      </c>
    </row>
    <row r="420" spans="1:11" ht="42" customHeight="1">
      <c r="A420" s="4" t="s">
        <v>1197</v>
      </c>
      <c r="B420" s="5" t="s">
        <v>1197</v>
      </c>
      <c r="C420" s="5" t="s">
        <v>40</v>
      </c>
      <c r="D420" s="5" t="s">
        <v>41</v>
      </c>
      <c r="E420" s="5" t="s">
        <v>726</v>
      </c>
      <c r="F420" s="9">
        <v>78</v>
      </c>
      <c r="G420" s="9">
        <v>841</v>
      </c>
      <c r="H420" s="5" t="s">
        <v>21</v>
      </c>
      <c r="I420" s="5" t="s">
        <v>1199</v>
      </c>
      <c r="J420" s="12" t="str">
        <f>HYPERLINK("https://www.boe.es/gazeta/dias/1803/09/27/pdfs/GMD-1803-78.pdf#page=5","Abrir facsímil")</f>
        <v>Abrir facsímil</v>
      </c>
      <c r="K420" s="15" t="s">
        <v>23</v>
      </c>
    </row>
    <row r="421" spans="1:11" ht="42" customHeight="1">
      <c r="A421" s="4" t="s">
        <v>1200</v>
      </c>
      <c r="B421" s="5" t="s">
        <v>1201</v>
      </c>
      <c r="C421" s="5" t="s">
        <v>51</v>
      </c>
      <c r="D421" s="5" t="s">
        <v>52</v>
      </c>
      <c r="E421" s="5" t="s">
        <v>203</v>
      </c>
      <c r="F421" s="9">
        <v>32</v>
      </c>
      <c r="G421" s="9">
        <v>336</v>
      </c>
      <c r="H421" s="5" t="s">
        <v>21</v>
      </c>
      <c r="I421" s="5" t="s">
        <v>1202</v>
      </c>
      <c r="J421" s="12" t="str">
        <f>HYPERLINK("https://www.boe.es/gazeta/dias/1803/04/22/pdfs/GMD-1803-32.pdf#page=8","Abrir facsímil")</f>
        <v>Abrir facsímil</v>
      </c>
      <c r="K421" s="15" t="s">
        <v>23</v>
      </c>
    </row>
    <row r="422" spans="1:11" ht="42" customHeight="1">
      <c r="A422" s="4" t="s">
        <v>1203</v>
      </c>
      <c r="B422" s="5" t="s">
        <v>1203</v>
      </c>
      <c r="C422" s="5" t="s">
        <v>26</v>
      </c>
      <c r="D422" s="5" t="s">
        <v>27</v>
      </c>
      <c r="E422" s="5" t="s">
        <v>75</v>
      </c>
      <c r="F422" s="9">
        <v>56</v>
      </c>
      <c r="G422" s="9">
        <v>611</v>
      </c>
      <c r="H422" s="5" t="s">
        <v>21</v>
      </c>
      <c r="I422" s="5" t="s">
        <v>1204</v>
      </c>
      <c r="J422" s="12" t="str">
        <f>HYPERLINK("https://www.boe.es/gazeta/dias/1803/07/15/pdfs/GMD-1803-56.pdf#page=7","Abrir facsímil")</f>
        <v>Abrir facsímil</v>
      </c>
      <c r="K422" s="15" t="s">
        <v>23</v>
      </c>
    </row>
    <row r="423" spans="1:11" ht="42" customHeight="1">
      <c r="A423" s="4" t="s">
        <v>1205</v>
      </c>
      <c r="B423" s="5" t="s">
        <v>1206</v>
      </c>
      <c r="C423" s="5" t="s">
        <v>80</v>
      </c>
      <c r="D423" s="5" t="s">
        <v>81</v>
      </c>
      <c r="E423" s="5" t="s">
        <v>152</v>
      </c>
      <c r="F423" s="9">
        <v>16</v>
      </c>
      <c r="G423" s="9">
        <v>168</v>
      </c>
      <c r="H423" s="5" t="s">
        <v>21</v>
      </c>
      <c r="I423" s="5" t="s">
        <v>1207</v>
      </c>
      <c r="J423" s="12" t="str">
        <f>HYPERLINK("https://www.boe.es/gazeta/dias/1803/02/25/pdfs/GMD-1803-16.pdf#page=8","Abrir facsímil")</f>
        <v>Abrir facsímil</v>
      </c>
      <c r="K423" s="15" t="s">
        <v>23</v>
      </c>
    </row>
    <row r="424" spans="1:11" ht="42" customHeight="1">
      <c r="A424" s="4" t="s">
        <v>1208</v>
      </c>
      <c r="B424" s="5" t="s">
        <v>1209</v>
      </c>
      <c r="C424" s="5" t="s">
        <v>26</v>
      </c>
      <c r="D424" s="5" t="s">
        <v>27</v>
      </c>
      <c r="E424" s="5" t="s">
        <v>102</v>
      </c>
      <c r="F424" s="9">
        <v>31</v>
      </c>
      <c r="G424" s="9">
        <v>326</v>
      </c>
      <c r="H424" s="5" t="s">
        <v>21</v>
      </c>
      <c r="I424" s="5" t="s">
        <v>1210</v>
      </c>
      <c r="J424" s="12" t="str">
        <f>HYPERLINK("https://www.boe.es/gazeta/dias/1803/04/19/pdfs/GMD-1803-31.pdf#page=6","Abrir facsímil")</f>
        <v>Abrir facsímil</v>
      </c>
      <c r="K424" s="15" t="s">
        <v>23</v>
      </c>
    </row>
    <row r="425" spans="1:11" ht="42" customHeight="1">
      <c r="A425" s="4" t="s">
        <v>1211</v>
      </c>
      <c r="B425" s="5" t="s">
        <v>1212</v>
      </c>
      <c r="C425" s="5" t="s">
        <v>874</v>
      </c>
      <c r="D425" s="5" t="s">
        <v>875</v>
      </c>
      <c r="E425" s="5" t="s">
        <v>480</v>
      </c>
      <c r="F425" s="9">
        <v>87</v>
      </c>
      <c r="G425" s="9" t="s">
        <v>1213</v>
      </c>
      <c r="H425" s="5" t="s">
        <v>21</v>
      </c>
      <c r="I425" s="5" t="s">
        <v>1214</v>
      </c>
      <c r="J425" s="12" t="str">
        <f>HYPERLINK("https://www.boe.es/gazeta/dias/1803/10/28/pdfs/GMD-C-1803-87.pdf#page=2","Abrir facsímil")</f>
        <v>Abrir facsímil</v>
      </c>
      <c r="K425" s="15" t="s">
        <v>23</v>
      </c>
    </row>
    <row r="426" spans="1:11" ht="42" customHeight="1">
      <c r="A426" s="4" t="s">
        <v>1215</v>
      </c>
      <c r="B426" s="5" t="s">
        <v>1215</v>
      </c>
      <c r="C426" s="5" t="s">
        <v>51</v>
      </c>
      <c r="D426" s="5" t="s">
        <v>52</v>
      </c>
      <c r="E426" s="5" t="s">
        <v>68</v>
      </c>
      <c r="F426" s="9">
        <v>23</v>
      </c>
      <c r="G426" s="9">
        <v>248</v>
      </c>
      <c r="H426" s="5" t="s">
        <v>21</v>
      </c>
      <c r="I426" s="5" t="s">
        <v>1216</v>
      </c>
      <c r="J426" s="12" t="str">
        <f>HYPERLINK("https://www.boe.es/gazeta/dias/1803/03/22/pdfs/GMD-1803-23.pdf#page=8","Abrir facsímil")</f>
        <v>Abrir facsímil</v>
      </c>
      <c r="K426" s="15" t="s">
        <v>23</v>
      </c>
    </row>
    <row r="427" spans="1:11" ht="42" customHeight="1">
      <c r="A427" s="4" t="s">
        <v>1217</v>
      </c>
      <c r="B427" s="5" t="s">
        <v>1218</v>
      </c>
      <c r="C427" s="5" t="s">
        <v>26</v>
      </c>
      <c r="D427" s="5" t="s">
        <v>27</v>
      </c>
      <c r="E427" s="5" t="s">
        <v>403</v>
      </c>
      <c r="F427" s="9">
        <v>91</v>
      </c>
      <c r="G427" s="9">
        <v>977</v>
      </c>
      <c r="H427" s="5" t="s">
        <v>21</v>
      </c>
      <c r="I427" s="5" t="s">
        <v>1219</v>
      </c>
      <c r="J427" s="12" t="str">
        <f>HYPERLINK("https://www.boe.es/gazeta/dias/1803/11/11/pdfs/GMD-1803-91.pdf#page=9","Abrir facsímil")</f>
        <v>Abrir facsímil</v>
      </c>
      <c r="K427" s="15" t="s">
        <v>23</v>
      </c>
    </row>
    <row r="428" spans="1:11" ht="42" customHeight="1">
      <c r="A428" s="4" t="s">
        <v>1220</v>
      </c>
      <c r="B428" s="5" t="s">
        <v>1221</v>
      </c>
      <c r="C428" s="5" t="s">
        <v>18</v>
      </c>
      <c r="D428" s="5" t="s">
        <v>19</v>
      </c>
      <c r="E428" s="5" t="s">
        <v>138</v>
      </c>
      <c r="F428" s="9">
        <v>68</v>
      </c>
      <c r="G428" s="9">
        <v>741</v>
      </c>
      <c r="H428" s="5" t="s">
        <v>21</v>
      </c>
      <c r="I428" s="5" t="s">
        <v>1222</v>
      </c>
      <c r="J428" s="12" t="str">
        <f>HYPERLINK("https://www.boe.es/gazeta/dias/1803/08/26/pdfs/GMD-1803-68.pdf#page=9","Abrir facsímil")</f>
        <v>Abrir facsímil</v>
      </c>
      <c r="K428" s="15" t="s">
        <v>23</v>
      </c>
    </row>
    <row r="429" spans="1:11" ht="42" customHeight="1">
      <c r="A429" s="4" t="s">
        <v>1223</v>
      </c>
      <c r="B429" s="5" t="s">
        <v>1224</v>
      </c>
      <c r="C429" s="5" t="s">
        <v>40</v>
      </c>
      <c r="D429" s="5" t="s">
        <v>41</v>
      </c>
      <c r="E429" s="5" t="s">
        <v>630</v>
      </c>
      <c r="F429" s="9">
        <v>85</v>
      </c>
      <c r="G429" s="9">
        <v>914</v>
      </c>
      <c r="H429" s="5" t="s">
        <v>21</v>
      </c>
      <c r="I429" s="5" t="s">
        <v>1225</v>
      </c>
      <c r="J429" s="12" t="str">
        <f>HYPERLINK("https://www.boe.es/gazeta/dias/1803/10/21/pdfs/GMD-1803-85.pdf#page=6","Abrir facsímil")</f>
        <v>Abrir facsímil</v>
      </c>
      <c r="K429" s="15" t="s">
        <v>23</v>
      </c>
    </row>
    <row r="430" spans="1:11" ht="42" customHeight="1">
      <c r="A430" s="4" t="s">
        <v>1226</v>
      </c>
      <c r="B430" s="5" t="s">
        <v>1227</v>
      </c>
      <c r="C430" s="5" t="s">
        <v>51</v>
      </c>
      <c r="D430" s="5" t="s">
        <v>52</v>
      </c>
      <c r="E430" s="5" t="s">
        <v>148</v>
      </c>
      <c r="F430" s="9">
        <v>15</v>
      </c>
      <c r="G430" s="9">
        <v>157</v>
      </c>
      <c r="H430" s="5" t="s">
        <v>21</v>
      </c>
      <c r="I430" s="5" t="s">
        <v>1228</v>
      </c>
      <c r="J430" s="12" t="str">
        <f>HYPERLINK("https://www.boe.es/gazeta/dias/1803/02/22/pdfs/GMD-1803-15.pdf#page=9","Abrir facsímil")</f>
        <v>Abrir facsímil</v>
      </c>
      <c r="K430" s="15" t="s">
        <v>23</v>
      </c>
    </row>
    <row r="431" spans="1:11" ht="42" customHeight="1">
      <c r="A431" s="4" t="s">
        <v>1229</v>
      </c>
      <c r="B431" s="5" t="s">
        <v>1230</v>
      </c>
      <c r="C431" s="5" t="s">
        <v>26</v>
      </c>
      <c r="D431" s="5" t="s">
        <v>27</v>
      </c>
      <c r="E431" s="5" t="s">
        <v>399</v>
      </c>
      <c r="F431" s="9">
        <v>95</v>
      </c>
      <c r="G431" s="9">
        <v>1018</v>
      </c>
      <c r="H431" s="5" t="s">
        <v>21</v>
      </c>
      <c r="I431" s="5" t="s">
        <v>1231</v>
      </c>
      <c r="J431" s="12" t="str">
        <f>HYPERLINK("https://www.boe.es/gazeta/dias/1803/11/25/pdfs/GMD-1803-95.pdf#page=6","Abrir facsímil")</f>
        <v>Abrir facsímil</v>
      </c>
      <c r="K431" s="15" t="s">
        <v>23</v>
      </c>
    </row>
    <row r="432" spans="1:11" ht="42" customHeight="1">
      <c r="A432" s="4" t="s">
        <v>1232</v>
      </c>
      <c r="B432" s="5" t="s">
        <v>1233</v>
      </c>
      <c r="C432" s="5" t="s">
        <v>40</v>
      </c>
      <c r="D432" s="5" t="s">
        <v>41</v>
      </c>
      <c r="E432" s="5" t="s">
        <v>882</v>
      </c>
      <c r="F432" s="9">
        <v>60</v>
      </c>
      <c r="G432" s="9">
        <v>655</v>
      </c>
      <c r="H432" s="5" t="s">
        <v>21</v>
      </c>
      <c r="I432" s="5" t="s">
        <v>1234</v>
      </c>
      <c r="J432" s="12" t="str">
        <f>HYPERLINK("https://www.boe.es/gazeta/dias/1803/07/29/pdfs/GMD-1803-60.pdf#page=7","Abrir facsímil")</f>
        <v>Abrir facsímil</v>
      </c>
      <c r="K432" s="15" t="s">
        <v>23</v>
      </c>
    </row>
    <row r="433" spans="1:11" ht="42" customHeight="1">
      <c r="A433" s="4" t="s">
        <v>1235</v>
      </c>
      <c r="B433" s="5" t="s">
        <v>1236</v>
      </c>
      <c r="C433" s="5" t="s">
        <v>40</v>
      </c>
      <c r="D433" s="5" t="s">
        <v>41</v>
      </c>
      <c r="E433" s="5" t="s">
        <v>496</v>
      </c>
      <c r="F433" s="9">
        <v>90</v>
      </c>
      <c r="G433" s="9">
        <v>963</v>
      </c>
      <c r="H433" s="5" t="s">
        <v>21</v>
      </c>
      <c r="I433" s="5" t="s">
        <v>1237</v>
      </c>
      <c r="J433" s="12" t="str">
        <f>HYPERLINK("https://www.boe.es/gazeta/dias/1803/11/08/pdfs/GMD-1803-90.pdf#page=3","Abrir facsímil")</f>
        <v>Abrir facsímil</v>
      </c>
      <c r="K433" s="15" t="s">
        <v>23</v>
      </c>
    </row>
    <row r="434" spans="1:11" ht="42" customHeight="1">
      <c r="A434" s="4" t="s">
        <v>1238</v>
      </c>
      <c r="B434" s="5" t="s">
        <v>1239</v>
      </c>
      <c r="C434" s="5" t="s">
        <v>51</v>
      </c>
      <c r="D434" s="5" t="s">
        <v>52</v>
      </c>
      <c r="E434" s="5" t="s">
        <v>109</v>
      </c>
      <c r="F434" s="9">
        <v>102</v>
      </c>
      <c r="G434" s="9">
        <v>1098</v>
      </c>
      <c r="H434" s="5" t="s">
        <v>21</v>
      </c>
      <c r="I434" s="5" t="s">
        <v>1240</v>
      </c>
      <c r="J434" s="12" t="str">
        <f>HYPERLINK("https://www.boe.es/gazeta/dias/1803/12/20/pdfs/GMD-1803-102.pdf#page=10","Abrir facsímil")</f>
        <v>Abrir facsímil</v>
      </c>
      <c r="K434" s="15" t="s">
        <v>23</v>
      </c>
    </row>
    <row r="435" spans="1:11" ht="42" customHeight="1">
      <c r="A435" s="4" t="s">
        <v>1241</v>
      </c>
      <c r="B435" s="5" t="s">
        <v>1242</v>
      </c>
      <c r="C435" s="5" t="s">
        <v>46</v>
      </c>
      <c r="D435" s="5" t="s">
        <v>19</v>
      </c>
      <c r="E435" s="5" t="s">
        <v>88</v>
      </c>
      <c r="F435" s="9">
        <v>18</v>
      </c>
      <c r="G435" s="9">
        <v>189</v>
      </c>
      <c r="H435" s="5" t="s">
        <v>21</v>
      </c>
      <c r="I435" s="5" t="s">
        <v>1243</v>
      </c>
      <c r="J435" s="12" t="str">
        <f>HYPERLINK("https://www.boe.es/gazeta/dias/1803/03/04/pdfs/GMD-1803-18.pdf#page=9","Abrir facsímil")</f>
        <v>Abrir facsímil</v>
      </c>
      <c r="K435" s="15" t="s">
        <v>23</v>
      </c>
    </row>
    <row r="436" spans="1:11" ht="42" customHeight="1">
      <c r="A436" s="4" t="s">
        <v>1244</v>
      </c>
      <c r="B436" s="5" t="s">
        <v>1245</v>
      </c>
      <c r="C436" s="5" t="s">
        <v>26</v>
      </c>
      <c r="D436" s="5" t="s">
        <v>27</v>
      </c>
      <c r="E436" s="5" t="s">
        <v>361</v>
      </c>
      <c r="F436" s="9">
        <v>62</v>
      </c>
      <c r="G436" s="9">
        <v>675</v>
      </c>
      <c r="H436" s="5" t="s">
        <v>21</v>
      </c>
      <c r="I436" s="5" t="s">
        <v>1246</v>
      </c>
      <c r="J436" s="12" t="str">
        <f>HYPERLINK("https://www.boe.es/gazeta/dias/1803/08/05/pdfs/GMD-1803-62.pdf#page=7","Abrir facsímil")</f>
        <v>Abrir facsímil</v>
      </c>
      <c r="K436" s="15" t="s">
        <v>23</v>
      </c>
    </row>
    <row r="437" spans="1:11" ht="42" customHeight="1">
      <c r="A437" s="4" t="s">
        <v>1247</v>
      </c>
      <c r="B437" s="5" t="s">
        <v>1247</v>
      </c>
      <c r="C437" s="5" t="s">
        <v>26</v>
      </c>
      <c r="D437" s="5" t="s">
        <v>27</v>
      </c>
      <c r="E437" s="5" t="s">
        <v>231</v>
      </c>
      <c r="F437" s="9">
        <v>26</v>
      </c>
      <c r="G437" s="9">
        <v>275</v>
      </c>
      <c r="H437" s="5" t="s">
        <v>21</v>
      </c>
      <c r="I437" s="5" t="s">
        <v>1248</v>
      </c>
      <c r="J437" s="12" t="str">
        <f>HYPERLINK("https://www.boe.es/gazeta/dias/1803/04/01/pdfs/GMD-1803-26.pdf#page=3","Abrir facsímil")</f>
        <v>Abrir facsímil</v>
      </c>
      <c r="K437" s="15" t="s">
        <v>23</v>
      </c>
    </row>
    <row r="438" spans="1:11" ht="42" customHeight="1">
      <c r="A438" s="4" t="s">
        <v>1249</v>
      </c>
      <c r="B438" s="5" t="s">
        <v>1249</v>
      </c>
      <c r="C438" s="5" t="s">
        <v>80</v>
      </c>
      <c r="D438" s="5" t="s">
        <v>81</v>
      </c>
      <c r="E438" s="5" t="s">
        <v>514</v>
      </c>
      <c r="F438" s="9">
        <v>42</v>
      </c>
      <c r="G438" s="9">
        <v>440</v>
      </c>
      <c r="H438" s="5" t="s">
        <v>21</v>
      </c>
      <c r="I438" s="5" t="s">
        <v>1250</v>
      </c>
      <c r="J438" s="12" t="str">
        <f>HYPERLINK("https://www.boe.es/gazeta/dias/1803/05/27/pdfs/GMD-1803-42.pdf#page=8","Abrir facsímil")</f>
        <v>Abrir facsímil</v>
      </c>
      <c r="K438" s="15" t="s">
        <v>23</v>
      </c>
    </row>
    <row r="439" spans="1:11" ht="42" customHeight="1">
      <c r="A439" s="4" t="s">
        <v>1251</v>
      </c>
      <c r="B439" s="5" t="s">
        <v>1251</v>
      </c>
      <c r="C439" s="5" t="s">
        <v>26</v>
      </c>
      <c r="D439" s="5" t="s">
        <v>27</v>
      </c>
      <c r="E439" s="5" t="s">
        <v>609</v>
      </c>
      <c r="F439" s="9">
        <v>57</v>
      </c>
      <c r="G439" s="9">
        <v>615</v>
      </c>
      <c r="H439" s="5" t="s">
        <v>21</v>
      </c>
      <c r="I439" s="5" t="s">
        <v>1252</v>
      </c>
      <c r="J439" s="12" t="str">
        <f>HYPERLINK("https://www.boe.es/gazeta/dias/1803/07/19/pdfs/GMD-1803-57.pdf#page=3","Abrir facsímil")</f>
        <v>Abrir facsímil</v>
      </c>
      <c r="K439" s="15" t="s">
        <v>23</v>
      </c>
    </row>
    <row r="440" spans="1:11" ht="42" customHeight="1">
      <c r="A440" s="4" t="s">
        <v>1253</v>
      </c>
      <c r="B440" s="5" t="s">
        <v>1253</v>
      </c>
      <c r="C440" s="5" t="s">
        <v>40</v>
      </c>
      <c r="D440" s="5" t="s">
        <v>41</v>
      </c>
      <c r="E440" s="5" t="s">
        <v>919</v>
      </c>
      <c r="F440" s="9">
        <v>69</v>
      </c>
      <c r="G440" s="9">
        <v>747</v>
      </c>
      <c r="H440" s="5" t="s">
        <v>21</v>
      </c>
      <c r="I440" s="5" t="s">
        <v>1254</v>
      </c>
      <c r="J440" s="12" t="str">
        <f>HYPERLINK("https://www.boe.es/gazeta/dias/1803/08/30/pdfs/GMD-1803-69.pdf#page=3","Abrir facsímil")</f>
        <v>Abrir facsímil</v>
      </c>
      <c r="K440" s="15" t="s">
        <v>23</v>
      </c>
    </row>
    <row r="441" spans="1:11" ht="42" customHeight="1">
      <c r="A441" s="4" t="s">
        <v>1255</v>
      </c>
      <c r="B441" s="5" t="s">
        <v>1256</v>
      </c>
      <c r="C441" s="5" t="s">
        <v>46</v>
      </c>
      <c r="D441" s="5" t="s">
        <v>19</v>
      </c>
      <c r="E441" s="5" t="s">
        <v>93</v>
      </c>
      <c r="F441" s="9">
        <v>43</v>
      </c>
      <c r="G441" s="9">
        <v>452</v>
      </c>
      <c r="H441" s="5" t="s">
        <v>21</v>
      </c>
      <c r="I441" s="5" t="s">
        <v>1257</v>
      </c>
      <c r="J441" s="12" t="str">
        <f>HYPERLINK("https://www.boe.es/gazeta/dias/1803/05/31/pdfs/GMD-1803-43.pdf#page=12","Abrir facsímil")</f>
        <v>Abrir facsímil</v>
      </c>
      <c r="K441" s="15" t="s">
        <v>23</v>
      </c>
    </row>
    <row r="442" spans="1:11" ht="42" customHeight="1">
      <c r="A442" s="4" t="s">
        <v>1255</v>
      </c>
      <c r="B442" s="5" t="s">
        <v>1256</v>
      </c>
      <c r="C442" s="5" t="s">
        <v>51</v>
      </c>
      <c r="D442" s="5" t="s">
        <v>52</v>
      </c>
      <c r="E442" s="5" t="s">
        <v>361</v>
      </c>
      <c r="F442" s="9">
        <v>62</v>
      </c>
      <c r="G442" s="9">
        <v>680</v>
      </c>
      <c r="H442" s="5" t="s">
        <v>21</v>
      </c>
      <c r="I442" s="5" t="s">
        <v>1258</v>
      </c>
      <c r="J442" s="12" t="str">
        <f>HYPERLINK("https://www.boe.es/gazeta/dias/1803/08/05/pdfs/GMD-1803-62.pdf#page=12","Abrir facsímil")</f>
        <v>Abrir facsímil</v>
      </c>
      <c r="K442" s="15" t="s">
        <v>23</v>
      </c>
    </row>
    <row r="443" spans="1:11" ht="42" customHeight="1">
      <c r="A443" s="4" t="s">
        <v>1255</v>
      </c>
      <c r="B443" s="5" t="s">
        <v>1256</v>
      </c>
      <c r="C443" s="5" t="s">
        <v>51</v>
      </c>
      <c r="D443" s="5" t="s">
        <v>52</v>
      </c>
      <c r="E443" s="5" t="s">
        <v>263</v>
      </c>
      <c r="F443" s="9">
        <v>75</v>
      </c>
      <c r="G443" s="9">
        <v>812</v>
      </c>
      <c r="H443" s="5" t="s">
        <v>21</v>
      </c>
      <c r="I443" s="5" t="s">
        <v>1259</v>
      </c>
      <c r="J443" s="12" t="str">
        <f>HYPERLINK("https://www.boe.es/gazeta/dias/1803/09/16/pdfs/GMD-1803-75.pdf#page=8","Abrir facsímil")</f>
        <v>Abrir facsímil</v>
      </c>
      <c r="K443" s="15" t="s">
        <v>23</v>
      </c>
    </row>
    <row r="444" spans="1:11" ht="42" customHeight="1">
      <c r="A444" s="4" t="s">
        <v>1255</v>
      </c>
      <c r="B444" s="5" t="s">
        <v>1256</v>
      </c>
      <c r="C444" s="5" t="s">
        <v>46</v>
      </c>
      <c r="D444" s="5" t="s">
        <v>19</v>
      </c>
      <c r="E444" s="5" t="s">
        <v>555</v>
      </c>
      <c r="F444" s="9">
        <v>83</v>
      </c>
      <c r="G444" s="9">
        <v>896</v>
      </c>
      <c r="H444" s="5" t="s">
        <v>21</v>
      </c>
      <c r="I444" s="5" t="s">
        <v>1260</v>
      </c>
      <c r="J444" s="12" t="str">
        <f>HYPERLINK("https://www.boe.es/gazeta/dias/1803/10/14/pdfs/GMD-1803-83.pdf#page=8","Abrir facsímil")</f>
        <v>Abrir facsímil</v>
      </c>
      <c r="K444" s="15" t="s">
        <v>23</v>
      </c>
    </row>
    <row r="445" spans="1:11" ht="42" customHeight="1">
      <c r="A445" s="4" t="s">
        <v>1261</v>
      </c>
      <c r="B445" s="5" t="s">
        <v>1262</v>
      </c>
      <c r="C445" s="5" t="s">
        <v>40</v>
      </c>
      <c r="D445" s="5" t="s">
        <v>41</v>
      </c>
      <c r="E445" s="5" t="s">
        <v>882</v>
      </c>
      <c r="F445" s="9">
        <v>60</v>
      </c>
      <c r="G445" s="9">
        <v>651</v>
      </c>
      <c r="H445" s="5" t="s">
        <v>21</v>
      </c>
      <c r="I445" s="5" t="s">
        <v>1263</v>
      </c>
      <c r="J445" s="12" t="str">
        <f>HYPERLINK("https://www.boe.es/gazeta/dias/1803/07/29/pdfs/GMD-1803-60.pdf#page=3","Abrir facsímil")</f>
        <v>Abrir facsímil</v>
      </c>
      <c r="K445" s="15" t="s">
        <v>23</v>
      </c>
    </row>
    <row r="446" spans="1:11" ht="42" customHeight="1">
      <c r="A446" s="4" t="s">
        <v>1264</v>
      </c>
      <c r="B446" s="5" t="s">
        <v>1264</v>
      </c>
      <c r="C446" s="5" t="s">
        <v>51</v>
      </c>
      <c r="D446" s="5" t="s">
        <v>52</v>
      </c>
      <c r="E446" s="5" t="s">
        <v>340</v>
      </c>
      <c r="F446" s="9">
        <v>55</v>
      </c>
      <c r="G446" s="9">
        <v>599</v>
      </c>
      <c r="H446" s="5" t="s">
        <v>21</v>
      </c>
      <c r="I446" s="5" t="s">
        <v>1265</v>
      </c>
      <c r="J446" s="12" t="str">
        <f>HYPERLINK("https://www.boe.es/gazeta/dias/1803/07/12/pdfs/GMD-1803-55.pdf#page=7","Abrir facsímil")</f>
        <v>Abrir facsímil</v>
      </c>
      <c r="K446" s="15" t="s">
        <v>23</v>
      </c>
    </row>
    <row r="447" spans="1:11" ht="42" customHeight="1">
      <c r="A447" s="4" t="s">
        <v>1264</v>
      </c>
      <c r="B447" s="5" t="s">
        <v>1264</v>
      </c>
      <c r="C447" s="5" t="s">
        <v>40</v>
      </c>
      <c r="D447" s="5" t="s">
        <v>41</v>
      </c>
      <c r="E447" s="5" t="s">
        <v>882</v>
      </c>
      <c r="F447" s="9">
        <v>60</v>
      </c>
      <c r="G447" s="9">
        <v>653</v>
      </c>
      <c r="H447" s="5" t="s">
        <v>21</v>
      </c>
      <c r="I447" s="5" t="s">
        <v>1266</v>
      </c>
      <c r="J447" s="12" t="str">
        <f>HYPERLINK("https://www.boe.es/gazeta/dias/1803/07/29/pdfs/GMD-1803-60.pdf#page=5","Abrir facsímil")</f>
        <v>Abrir facsímil</v>
      </c>
      <c r="K447" s="15" t="s">
        <v>23</v>
      </c>
    </row>
    <row r="448" spans="1:11" ht="42" customHeight="1">
      <c r="A448" s="4" t="s">
        <v>1267</v>
      </c>
      <c r="B448" s="5" t="s">
        <v>1268</v>
      </c>
      <c r="C448" s="5" t="s">
        <v>40</v>
      </c>
      <c r="D448" s="5" t="s">
        <v>41</v>
      </c>
      <c r="E448" s="5" t="s">
        <v>160</v>
      </c>
      <c r="F448" s="9">
        <v>81</v>
      </c>
      <c r="G448" s="9">
        <v>868</v>
      </c>
      <c r="H448" s="5" t="s">
        <v>21</v>
      </c>
      <c r="I448" s="5" t="s">
        <v>1269</v>
      </c>
      <c r="J448" s="12" t="str">
        <f>HYPERLINK("https://www.boe.es/gazeta/dias/1803/10/07/pdfs/GMD-1803-81.pdf#page=4","Abrir facsímil")</f>
        <v>Abrir facsímil</v>
      </c>
      <c r="K448" s="15" t="s">
        <v>23</v>
      </c>
    </row>
    <row r="449" spans="1:11" ht="42" customHeight="1">
      <c r="A449" s="4" t="s">
        <v>1270</v>
      </c>
      <c r="B449" s="5" t="s">
        <v>1271</v>
      </c>
      <c r="C449" s="5" t="s">
        <v>40</v>
      </c>
      <c r="D449" s="5" t="s">
        <v>41</v>
      </c>
      <c r="E449" s="5" t="s">
        <v>261</v>
      </c>
      <c r="F449" s="9">
        <v>70</v>
      </c>
      <c r="G449" s="9">
        <v>765</v>
      </c>
      <c r="H449" s="5" t="s">
        <v>21</v>
      </c>
      <c r="I449" s="5" t="s">
        <v>1272</v>
      </c>
      <c r="J449" s="12" t="str">
        <f>HYPERLINK("https://www.boe.es/gazeta/dias/1803/09/02/pdfs/GMD-1803-70.pdf#page=5","Abrir facsímil")</f>
        <v>Abrir facsímil</v>
      </c>
      <c r="K449" s="15" t="s">
        <v>23</v>
      </c>
    </row>
    <row r="450" spans="1:11" ht="42" customHeight="1">
      <c r="A450" s="4" t="s">
        <v>1270</v>
      </c>
      <c r="B450" s="5" t="s">
        <v>1271</v>
      </c>
      <c r="C450" s="5" t="s">
        <v>40</v>
      </c>
      <c r="D450" s="5" t="s">
        <v>41</v>
      </c>
      <c r="E450" s="5" t="s">
        <v>630</v>
      </c>
      <c r="F450" s="9">
        <v>85</v>
      </c>
      <c r="G450" s="9">
        <v>914</v>
      </c>
      <c r="H450" s="5" t="s">
        <v>21</v>
      </c>
      <c r="I450" s="5" t="s">
        <v>1273</v>
      </c>
      <c r="J450" s="12" t="str">
        <f>HYPERLINK("https://www.boe.es/gazeta/dias/1803/10/21/pdfs/GMD-1803-85.pdf#page=6","Abrir facsímil")</f>
        <v>Abrir facsímil</v>
      </c>
      <c r="K450" s="15" t="s">
        <v>23</v>
      </c>
    </row>
    <row r="451" spans="1:11" ht="42" customHeight="1">
      <c r="A451" s="4" t="s">
        <v>1270</v>
      </c>
      <c r="B451" s="5" t="s">
        <v>1271</v>
      </c>
      <c r="C451" s="5" t="s">
        <v>40</v>
      </c>
      <c r="D451" s="5" t="s">
        <v>41</v>
      </c>
      <c r="E451" s="5" t="s">
        <v>399</v>
      </c>
      <c r="F451" s="9">
        <v>95</v>
      </c>
      <c r="G451" s="9">
        <v>1016</v>
      </c>
      <c r="H451" s="5" t="s">
        <v>21</v>
      </c>
      <c r="I451" s="5" t="s">
        <v>1274</v>
      </c>
      <c r="J451" s="12" t="str">
        <f>HYPERLINK("https://www.boe.es/gazeta/dias/1803/11/25/pdfs/GMD-1803-95.pdf#page=4","Abrir facsímil")</f>
        <v>Abrir facsímil</v>
      </c>
      <c r="K451" s="15" t="s">
        <v>23</v>
      </c>
    </row>
    <row r="452" spans="1:11" ht="42" customHeight="1">
      <c r="A452" s="4" t="s">
        <v>1275</v>
      </c>
      <c r="B452" s="5" t="s">
        <v>1276</v>
      </c>
      <c r="C452" s="5" t="s">
        <v>40</v>
      </c>
      <c r="D452" s="5" t="s">
        <v>41</v>
      </c>
      <c r="E452" s="5" t="s">
        <v>403</v>
      </c>
      <c r="F452" s="9">
        <v>91</v>
      </c>
      <c r="G452" s="9">
        <v>971</v>
      </c>
      <c r="H452" s="5" t="s">
        <v>21</v>
      </c>
      <c r="I452" s="5" t="s">
        <v>1277</v>
      </c>
      <c r="J452" s="12" t="str">
        <f>HYPERLINK("https://www.boe.es/gazeta/dias/1803/11/11/pdfs/GMD-1803-91.pdf#page=3","Abrir facsímil")</f>
        <v>Abrir facsímil</v>
      </c>
      <c r="K452" s="15" t="s">
        <v>23</v>
      </c>
    </row>
    <row r="453" spans="1:11" ht="42" customHeight="1">
      <c r="A453" s="4" t="s">
        <v>1278</v>
      </c>
      <c r="B453" s="5" t="s">
        <v>1278</v>
      </c>
      <c r="C453" s="5" t="s">
        <v>51</v>
      </c>
      <c r="D453" s="5" t="s">
        <v>52</v>
      </c>
      <c r="E453" s="5" t="s">
        <v>1279</v>
      </c>
      <c r="F453" s="9">
        <v>3</v>
      </c>
      <c r="G453" s="9">
        <v>27</v>
      </c>
      <c r="H453" s="5" t="s">
        <v>21</v>
      </c>
      <c r="I453" s="5" t="s">
        <v>1280</v>
      </c>
      <c r="J453" s="12" t="str">
        <f>HYPERLINK("https://www.boe.es/gazeta/dias/1803/01/11/pdfs/GMD-1803-3.pdf#page=7","Abrir facsímil")</f>
        <v>Abrir facsímil</v>
      </c>
      <c r="K453" s="15" t="s">
        <v>23</v>
      </c>
    </row>
    <row r="454" spans="1:11" ht="42" customHeight="1">
      <c r="A454" s="4" t="s">
        <v>1281</v>
      </c>
      <c r="B454" s="5" t="s">
        <v>1281</v>
      </c>
      <c r="C454" s="5" t="s">
        <v>46</v>
      </c>
      <c r="D454" s="5" t="s">
        <v>19</v>
      </c>
      <c r="E454" s="5" t="s">
        <v>480</v>
      </c>
      <c r="F454" s="9">
        <v>87</v>
      </c>
      <c r="G454" s="9">
        <v>938</v>
      </c>
      <c r="H454" s="5" t="s">
        <v>21</v>
      </c>
      <c r="I454" s="5" t="s">
        <v>1282</v>
      </c>
      <c r="J454" s="12" t="str">
        <f>HYPERLINK("https://www.boe.es/gazeta/dias/1803/10/28/pdfs/GMD-1803-87.pdf#page=6","Abrir facsímil")</f>
        <v>Abrir facsímil</v>
      </c>
      <c r="K454" s="15" t="s">
        <v>23</v>
      </c>
    </row>
    <row r="455" spans="1:11" ht="42" customHeight="1">
      <c r="A455" s="4" t="s">
        <v>1281</v>
      </c>
      <c r="B455" s="5" t="s">
        <v>1281</v>
      </c>
      <c r="C455" s="5" t="s">
        <v>51</v>
      </c>
      <c r="D455" s="5" t="s">
        <v>52</v>
      </c>
      <c r="E455" s="5" t="s">
        <v>480</v>
      </c>
      <c r="F455" s="9">
        <v>87</v>
      </c>
      <c r="G455" s="9">
        <v>939</v>
      </c>
      <c r="H455" s="5" t="s">
        <v>21</v>
      </c>
      <c r="I455" s="5" t="s">
        <v>1283</v>
      </c>
      <c r="J455" s="12" t="str">
        <f>HYPERLINK("https://www.boe.es/gazeta/dias/1803/10/28/pdfs/GMD-1803-87.pdf#page=7","Abrir facsímil")</f>
        <v>Abrir facsímil</v>
      </c>
      <c r="K455" s="15" t="s">
        <v>23</v>
      </c>
    </row>
    <row r="456" spans="1:11" ht="42" customHeight="1">
      <c r="A456" s="4" t="s">
        <v>1284</v>
      </c>
      <c r="B456" s="5" t="s">
        <v>1285</v>
      </c>
      <c r="C456" s="5" t="s">
        <v>26</v>
      </c>
      <c r="D456" s="5" t="s">
        <v>27</v>
      </c>
      <c r="E456" s="5" t="s">
        <v>214</v>
      </c>
      <c r="F456" s="9">
        <v>17</v>
      </c>
      <c r="G456" s="9">
        <v>170</v>
      </c>
      <c r="H456" s="5" t="s">
        <v>21</v>
      </c>
      <c r="I456" s="5" t="s">
        <v>1286</v>
      </c>
      <c r="J456" s="12" t="str">
        <f>HYPERLINK("https://www.boe.es/gazeta/dias/1803/03/01/pdfs/GMD-1803-17.pdf#page=2","Abrir facsímil")</f>
        <v>Abrir facsímil</v>
      </c>
      <c r="K456" s="15" t="s">
        <v>23</v>
      </c>
    </row>
    <row r="457" spans="1:11" ht="42" customHeight="1">
      <c r="A457" s="4" t="s">
        <v>1284</v>
      </c>
      <c r="B457" s="5" t="s">
        <v>1285</v>
      </c>
      <c r="C457" s="5" t="s">
        <v>40</v>
      </c>
      <c r="D457" s="5" t="s">
        <v>41</v>
      </c>
      <c r="E457" s="5" t="s">
        <v>124</v>
      </c>
      <c r="F457" s="9">
        <v>20</v>
      </c>
      <c r="G457" s="9">
        <v>205</v>
      </c>
      <c r="H457" s="5" t="s">
        <v>21</v>
      </c>
      <c r="I457" s="5" t="s">
        <v>1287</v>
      </c>
      <c r="J457" s="12" t="str">
        <f>HYPERLINK("https://www.boe.es/gazeta/dias/1803/03/11/pdfs/GMD-1803-20.pdf#page=1","Abrir facsímil")</f>
        <v>Abrir facsímil</v>
      </c>
      <c r="K457" s="15" t="s">
        <v>23</v>
      </c>
    </row>
    <row r="458" spans="1:11" ht="42" customHeight="1">
      <c r="A458" s="4" t="s">
        <v>1284</v>
      </c>
      <c r="B458" s="5" t="s">
        <v>1285</v>
      </c>
      <c r="C458" s="5" t="s">
        <v>40</v>
      </c>
      <c r="D458" s="5" t="s">
        <v>41</v>
      </c>
      <c r="E458" s="5" t="s">
        <v>272</v>
      </c>
      <c r="F458" s="9">
        <v>25</v>
      </c>
      <c r="G458" s="9">
        <v>261</v>
      </c>
      <c r="H458" s="5" t="s">
        <v>21</v>
      </c>
      <c r="I458" s="5" t="s">
        <v>1288</v>
      </c>
      <c r="J458" s="12" t="str">
        <f>HYPERLINK("https://www.boe.es/gazeta/dias/1803/03/29/pdfs/GMD-1803-25.pdf#page=1","Abrir facsímil")</f>
        <v>Abrir facsímil</v>
      </c>
      <c r="K458" s="15" t="s">
        <v>23</v>
      </c>
    </row>
    <row r="459" spans="1:11" ht="42" customHeight="1">
      <c r="A459" s="4" t="s">
        <v>1284</v>
      </c>
      <c r="B459" s="5" t="s">
        <v>1285</v>
      </c>
      <c r="C459" s="5" t="s">
        <v>26</v>
      </c>
      <c r="D459" s="5" t="s">
        <v>27</v>
      </c>
      <c r="E459" s="5" t="s">
        <v>178</v>
      </c>
      <c r="F459" s="9">
        <v>36</v>
      </c>
      <c r="G459" s="9">
        <v>369</v>
      </c>
      <c r="H459" s="5" t="s">
        <v>21</v>
      </c>
      <c r="I459" s="5" t="s">
        <v>1289</v>
      </c>
      <c r="J459" s="12" t="str">
        <f>HYPERLINK("https://www.boe.es/gazeta/dias/1803/05/06/pdfs/GMD-1803-36.pdf#page=1","Abrir facsímil")</f>
        <v>Abrir facsímil</v>
      </c>
      <c r="K459" s="15" t="s">
        <v>23</v>
      </c>
    </row>
    <row r="460" spans="1:11" ht="42" customHeight="1">
      <c r="A460" s="4" t="s">
        <v>1284</v>
      </c>
      <c r="B460" s="5" t="s">
        <v>1285</v>
      </c>
      <c r="C460" s="5" t="s">
        <v>40</v>
      </c>
      <c r="D460" s="5" t="s">
        <v>41</v>
      </c>
      <c r="E460" s="5" t="s">
        <v>514</v>
      </c>
      <c r="F460" s="9">
        <v>42</v>
      </c>
      <c r="G460" s="9">
        <v>437</v>
      </c>
      <c r="H460" s="5" t="s">
        <v>21</v>
      </c>
      <c r="I460" s="5" t="s">
        <v>1290</v>
      </c>
      <c r="J460" s="12" t="str">
        <f>HYPERLINK("https://www.boe.es/gazeta/dias/1803/05/27/pdfs/GMD-1803-42.pdf#page=5","Abrir facsímil")</f>
        <v>Abrir facsímil</v>
      </c>
      <c r="K460" s="15" t="s">
        <v>23</v>
      </c>
    </row>
    <row r="461" spans="1:11" ht="42" customHeight="1">
      <c r="A461" s="4" t="s">
        <v>1284</v>
      </c>
      <c r="B461" s="5" t="s">
        <v>1285</v>
      </c>
      <c r="C461" s="5" t="s">
        <v>26</v>
      </c>
      <c r="D461" s="5" t="s">
        <v>27</v>
      </c>
      <c r="E461" s="5" t="s">
        <v>477</v>
      </c>
      <c r="F461" s="9">
        <v>48</v>
      </c>
      <c r="G461" s="9">
        <v>501</v>
      </c>
      <c r="H461" s="5" t="s">
        <v>21</v>
      </c>
      <c r="I461" s="5" t="s">
        <v>1291</v>
      </c>
      <c r="J461" s="12" t="str">
        <f>HYPERLINK("https://www.boe.es/gazeta/dias/1803/06/17/pdfs/GMD-1803-48.pdf#page=1","Abrir facsímil")</f>
        <v>Abrir facsímil</v>
      </c>
      <c r="K461" s="15" t="s">
        <v>23</v>
      </c>
    </row>
    <row r="462" spans="1:11" ht="42" customHeight="1">
      <c r="A462" s="4" t="s">
        <v>1284</v>
      </c>
      <c r="B462" s="5" t="s">
        <v>1285</v>
      </c>
      <c r="C462" s="5" t="s">
        <v>26</v>
      </c>
      <c r="D462" s="5" t="s">
        <v>27</v>
      </c>
      <c r="E462" s="5" t="s">
        <v>619</v>
      </c>
      <c r="F462" s="9">
        <v>53</v>
      </c>
      <c r="G462" s="9">
        <v>569</v>
      </c>
      <c r="H462" s="5" t="s">
        <v>21</v>
      </c>
      <c r="I462" s="5" t="s">
        <v>1292</v>
      </c>
      <c r="J462" s="12" t="str">
        <f>HYPERLINK("https://www.boe.es/gazeta/dias/1803/07/05/pdfs/GMD-1803-53.pdf#page=1","Abrir facsímil")</f>
        <v>Abrir facsímil</v>
      </c>
      <c r="K462" s="15" t="s">
        <v>23</v>
      </c>
    </row>
    <row r="463" spans="1:11" ht="42" customHeight="1">
      <c r="A463" s="4" t="s">
        <v>1284</v>
      </c>
      <c r="B463" s="5" t="s">
        <v>1285</v>
      </c>
      <c r="C463" s="5" t="s">
        <v>40</v>
      </c>
      <c r="D463" s="5" t="s">
        <v>41</v>
      </c>
      <c r="E463" s="5" t="s">
        <v>609</v>
      </c>
      <c r="F463" s="9">
        <v>57</v>
      </c>
      <c r="G463" s="9">
        <v>613</v>
      </c>
      <c r="H463" s="5" t="s">
        <v>21</v>
      </c>
      <c r="I463" s="5" t="s">
        <v>1293</v>
      </c>
      <c r="J463" s="12" t="str">
        <f>HYPERLINK("https://www.boe.es/gazeta/dias/1803/07/19/pdfs/GMD-1803-57.pdf#page=1","Abrir facsímil")</f>
        <v>Abrir facsímil</v>
      </c>
      <c r="K463" s="15" t="s">
        <v>23</v>
      </c>
    </row>
    <row r="464" spans="1:11" ht="42" customHeight="1">
      <c r="A464" s="4" t="s">
        <v>1284</v>
      </c>
      <c r="B464" s="5" t="s">
        <v>1285</v>
      </c>
      <c r="C464" s="5" t="s">
        <v>26</v>
      </c>
      <c r="D464" s="5" t="s">
        <v>27</v>
      </c>
      <c r="E464" s="5" t="s">
        <v>373</v>
      </c>
      <c r="F464" s="9">
        <v>77</v>
      </c>
      <c r="G464" s="9">
        <v>826</v>
      </c>
      <c r="H464" s="5" t="s">
        <v>21</v>
      </c>
      <c r="I464" s="5" t="s">
        <v>1294</v>
      </c>
      <c r="J464" s="12" t="str">
        <f>HYPERLINK("https://www.boe.es/gazeta/dias/1803/09/23/pdfs/GMD-1803-77.pdf#page=2","Abrir facsímil")</f>
        <v>Abrir facsímil</v>
      </c>
      <c r="K464" s="15" t="s">
        <v>23</v>
      </c>
    </row>
    <row r="465" spans="1:11" ht="42" customHeight="1">
      <c r="A465" s="4" t="s">
        <v>1295</v>
      </c>
      <c r="B465" s="5" t="s">
        <v>1296</v>
      </c>
      <c r="C465" s="5" t="s">
        <v>80</v>
      </c>
      <c r="D465" s="5" t="s">
        <v>81</v>
      </c>
      <c r="E465" s="5" t="s">
        <v>373</v>
      </c>
      <c r="F465" s="9">
        <v>77</v>
      </c>
      <c r="G465" s="9">
        <v>836</v>
      </c>
      <c r="H465" s="5" t="s">
        <v>21</v>
      </c>
      <c r="I465" s="5" t="s">
        <v>1297</v>
      </c>
      <c r="J465" s="12" t="str">
        <f>HYPERLINK("https://www.boe.es/gazeta/dias/1803/09/23/pdfs/GMD-1803-77.pdf#page=12","Abrir facsímil")</f>
        <v>Abrir facsímil</v>
      </c>
      <c r="K465" s="15" t="s">
        <v>23</v>
      </c>
    </row>
    <row r="466" spans="1:11" ht="42" customHeight="1">
      <c r="A466" s="4" t="s">
        <v>1298</v>
      </c>
      <c r="B466" s="5" t="s">
        <v>1299</v>
      </c>
      <c r="C466" s="5" t="s">
        <v>18</v>
      </c>
      <c r="D466" s="5" t="s">
        <v>19</v>
      </c>
      <c r="E466" s="5" t="s">
        <v>258</v>
      </c>
      <c r="F466" s="9">
        <v>7</v>
      </c>
      <c r="G466" s="9">
        <v>68</v>
      </c>
      <c r="H466" s="5" t="s">
        <v>21</v>
      </c>
      <c r="I466" s="5" t="s">
        <v>1300</v>
      </c>
      <c r="J466" s="12" t="str">
        <f>HYPERLINK("https://www.boe.es/gazeta/dias/1803/01/25/pdfs/GMD-1803-7.pdf#page=8","Abrir facsímil")</f>
        <v>Abrir facsímil</v>
      </c>
      <c r="K466" s="15" t="s">
        <v>23</v>
      </c>
    </row>
    <row r="467" spans="1:11" ht="42" customHeight="1">
      <c r="A467" s="4" t="s">
        <v>1301</v>
      </c>
      <c r="B467" s="5" t="s">
        <v>1302</v>
      </c>
      <c r="C467" s="5" t="s">
        <v>40</v>
      </c>
      <c r="D467" s="5" t="s">
        <v>41</v>
      </c>
      <c r="E467" s="5" t="s">
        <v>124</v>
      </c>
      <c r="F467" s="9">
        <v>20</v>
      </c>
      <c r="G467" s="9">
        <v>209</v>
      </c>
      <c r="H467" s="5" t="s">
        <v>21</v>
      </c>
      <c r="I467" s="5" t="s">
        <v>1303</v>
      </c>
      <c r="J467" s="12" t="str">
        <f>HYPERLINK("https://www.boe.es/gazeta/dias/1803/03/11/pdfs/GMD-1803-20.pdf#page=5","Abrir facsímil")</f>
        <v>Abrir facsímil</v>
      </c>
      <c r="K467" s="15" t="s">
        <v>23</v>
      </c>
    </row>
    <row r="468" spans="1:11" ht="42" customHeight="1">
      <c r="A468" s="4" t="s">
        <v>1304</v>
      </c>
      <c r="B468" s="5" t="s">
        <v>1305</v>
      </c>
      <c r="C468" s="5" t="s">
        <v>80</v>
      </c>
      <c r="D468" s="5" t="s">
        <v>81</v>
      </c>
      <c r="E468" s="5" t="s">
        <v>1279</v>
      </c>
      <c r="F468" s="9">
        <v>3</v>
      </c>
      <c r="G468" s="9">
        <v>28</v>
      </c>
      <c r="H468" s="5" t="s">
        <v>21</v>
      </c>
      <c r="I468" s="5" t="s">
        <v>1306</v>
      </c>
      <c r="J468" s="12" t="str">
        <f>HYPERLINK("https://www.boe.es/gazeta/dias/1803/01/11/pdfs/GMD-1803-3.pdf#page=8","Abrir facsímil")</f>
        <v>Abrir facsímil</v>
      </c>
      <c r="K468" s="15" t="s">
        <v>23</v>
      </c>
    </row>
    <row r="469" spans="1:11" ht="42" customHeight="1">
      <c r="A469" s="4" t="s">
        <v>1304</v>
      </c>
      <c r="B469" s="5" t="s">
        <v>1305</v>
      </c>
      <c r="C469" s="5" t="s">
        <v>80</v>
      </c>
      <c r="D469" s="5" t="s">
        <v>81</v>
      </c>
      <c r="E469" s="5" t="s">
        <v>47</v>
      </c>
      <c r="F469" s="9">
        <v>33</v>
      </c>
      <c r="G469" s="9">
        <v>352</v>
      </c>
      <c r="H469" s="5" t="s">
        <v>21</v>
      </c>
      <c r="I469" s="5" t="s">
        <v>1307</v>
      </c>
      <c r="J469" s="12" t="str">
        <f>HYPERLINK("https://www.boe.es/gazeta/dias/1803/04/26/pdfs/GMD-1803-33.pdf#page=12","Abrir facsímil")</f>
        <v>Abrir facsímil</v>
      </c>
      <c r="K469" s="15" t="s">
        <v>23</v>
      </c>
    </row>
    <row r="470" spans="1:11" ht="42" customHeight="1">
      <c r="A470" s="4" t="s">
        <v>1304</v>
      </c>
      <c r="B470" s="5" t="s">
        <v>1305</v>
      </c>
      <c r="C470" s="5" t="s">
        <v>80</v>
      </c>
      <c r="D470" s="5" t="s">
        <v>81</v>
      </c>
      <c r="E470" s="5" t="s">
        <v>399</v>
      </c>
      <c r="F470" s="9">
        <v>95</v>
      </c>
      <c r="G470" s="9">
        <v>1020</v>
      </c>
      <c r="H470" s="5" t="s">
        <v>21</v>
      </c>
      <c r="I470" s="5" t="s">
        <v>1308</v>
      </c>
      <c r="J470" s="12" t="str">
        <f>HYPERLINK("https://www.boe.es/gazeta/dias/1803/11/25/pdfs/GMD-1803-95.pdf#page=8","Abrir facsímil")</f>
        <v>Abrir facsímil</v>
      </c>
      <c r="K470" s="15" t="s">
        <v>23</v>
      </c>
    </row>
    <row r="471" spans="1:11" ht="42" customHeight="1">
      <c r="A471" s="4" t="s">
        <v>1309</v>
      </c>
      <c r="B471" s="5" t="s">
        <v>1309</v>
      </c>
      <c r="C471" s="5" t="s">
        <v>26</v>
      </c>
      <c r="D471" s="5" t="s">
        <v>27</v>
      </c>
      <c r="E471" s="5" t="s">
        <v>519</v>
      </c>
      <c r="F471" s="9">
        <v>50</v>
      </c>
      <c r="G471" s="9">
        <v>541</v>
      </c>
      <c r="H471" s="5" t="s">
        <v>21</v>
      </c>
      <c r="I471" s="5" t="s">
        <v>1310</v>
      </c>
      <c r="J471" s="12" t="str">
        <f>HYPERLINK("https://www.boe.es/gazeta/dias/1803/06/24/pdfs/GMD-1803-50.pdf#page=9","Abrir facsímil")</f>
        <v>Abrir facsímil</v>
      </c>
      <c r="K471" s="15" t="s">
        <v>23</v>
      </c>
    </row>
    <row r="472" spans="1:11" ht="42" customHeight="1">
      <c r="A472" s="4" t="s">
        <v>1311</v>
      </c>
      <c r="B472" s="5" t="s">
        <v>1311</v>
      </c>
      <c r="C472" s="5" t="s">
        <v>51</v>
      </c>
      <c r="D472" s="5" t="s">
        <v>52</v>
      </c>
      <c r="E472" s="5" t="s">
        <v>373</v>
      </c>
      <c r="F472" s="9">
        <v>77</v>
      </c>
      <c r="G472" s="9">
        <v>833</v>
      </c>
      <c r="H472" s="5" t="s">
        <v>21</v>
      </c>
      <c r="I472" s="5" t="s">
        <v>1312</v>
      </c>
      <c r="J472" s="12" t="str">
        <f>HYPERLINK("https://www.boe.es/gazeta/dias/1803/09/23/pdfs/GMD-1803-77.pdf#page=9","Abrir facsímil")</f>
        <v>Abrir facsímil</v>
      </c>
      <c r="K472" s="15" t="s">
        <v>23</v>
      </c>
    </row>
    <row r="473" spans="1:11" ht="42" customHeight="1">
      <c r="A473" s="4" t="s">
        <v>1313</v>
      </c>
      <c r="B473" s="5" t="s">
        <v>1313</v>
      </c>
      <c r="C473" s="5" t="s">
        <v>18</v>
      </c>
      <c r="D473" s="5" t="s">
        <v>19</v>
      </c>
      <c r="E473" s="5" t="s">
        <v>361</v>
      </c>
      <c r="F473" s="9">
        <v>62</v>
      </c>
      <c r="G473" s="9">
        <v>675</v>
      </c>
      <c r="H473" s="5" t="s">
        <v>21</v>
      </c>
      <c r="I473" s="5" t="s">
        <v>1314</v>
      </c>
      <c r="J473" s="12" t="str">
        <f>HYPERLINK("https://www.boe.es/gazeta/dias/1803/08/05/pdfs/GMD-1803-62.pdf#page=7","Abrir facsímil")</f>
        <v>Abrir facsímil</v>
      </c>
      <c r="K473" s="15" t="s">
        <v>23</v>
      </c>
    </row>
    <row r="474" spans="1:11" ht="42" customHeight="1">
      <c r="A474" s="4" t="s">
        <v>1315</v>
      </c>
      <c r="B474" s="5" t="s">
        <v>1316</v>
      </c>
      <c r="C474" s="5" t="s">
        <v>26</v>
      </c>
      <c r="D474" s="5" t="s">
        <v>27</v>
      </c>
      <c r="E474" s="5" t="s">
        <v>501</v>
      </c>
      <c r="F474" s="9">
        <v>22</v>
      </c>
      <c r="G474" s="9">
        <v>236</v>
      </c>
      <c r="H474" s="5" t="s">
        <v>21</v>
      </c>
      <c r="I474" s="5" t="s">
        <v>1317</v>
      </c>
      <c r="J474" s="12" t="str">
        <f>HYPERLINK("https://www.boe.es/gazeta/dias/1803/03/18/pdfs/GMD-1803-22.pdf#page=8","Abrir facsímil")</f>
        <v>Abrir facsímil</v>
      </c>
      <c r="K474" s="15" t="s">
        <v>23</v>
      </c>
    </row>
    <row r="475" spans="1:11" ht="42" customHeight="1">
      <c r="A475" s="4" t="s">
        <v>1318</v>
      </c>
      <c r="B475" s="5" t="s">
        <v>1319</v>
      </c>
      <c r="C475" s="5" t="s">
        <v>26</v>
      </c>
      <c r="D475" s="5" t="s">
        <v>27</v>
      </c>
      <c r="E475" s="5" t="s">
        <v>313</v>
      </c>
      <c r="F475" s="9">
        <v>14</v>
      </c>
      <c r="G475" s="9">
        <v>143</v>
      </c>
      <c r="H475" s="5" t="s">
        <v>21</v>
      </c>
      <c r="I475" s="5" t="s">
        <v>1320</v>
      </c>
      <c r="J475" s="12" t="str">
        <f>HYPERLINK("https://www.boe.es/gazeta/dias/1803/02/18/pdfs/GMD-1803-14.pdf#page=7","Abrir facsímil")</f>
        <v>Abrir facsímil</v>
      </c>
      <c r="K475" s="15" t="s">
        <v>23</v>
      </c>
    </row>
    <row r="476" spans="1:11" ht="42" customHeight="1">
      <c r="A476" s="4" t="s">
        <v>1321</v>
      </c>
      <c r="B476" s="5" t="s">
        <v>1322</v>
      </c>
      <c r="C476" s="5" t="s">
        <v>26</v>
      </c>
      <c r="D476" s="5" t="s">
        <v>27</v>
      </c>
      <c r="E476" s="5" t="s">
        <v>439</v>
      </c>
      <c r="F476" s="9">
        <v>76</v>
      </c>
      <c r="G476" s="9">
        <v>822</v>
      </c>
      <c r="H476" s="5" t="s">
        <v>21</v>
      </c>
      <c r="I476" s="5" t="s">
        <v>1323</v>
      </c>
      <c r="J476" s="12" t="str">
        <f>HYPERLINK("https://www.boe.es/gazeta/dias/1803/09/20/pdfs/GMD-1803-76.pdf#page=10","Abrir facsímil")</f>
        <v>Abrir facsímil</v>
      </c>
      <c r="K476" s="15" t="s">
        <v>23</v>
      </c>
    </row>
    <row r="477" spans="1:11" ht="42" customHeight="1">
      <c r="A477" s="4" t="s">
        <v>1324</v>
      </c>
      <c r="B477" s="5" t="s">
        <v>1325</v>
      </c>
      <c r="C477" s="5" t="s">
        <v>26</v>
      </c>
      <c r="D477" s="5" t="s">
        <v>27</v>
      </c>
      <c r="E477" s="5" t="s">
        <v>403</v>
      </c>
      <c r="F477" s="9">
        <v>91</v>
      </c>
      <c r="G477" s="9">
        <v>977</v>
      </c>
      <c r="H477" s="5" t="s">
        <v>21</v>
      </c>
      <c r="I477" s="5" t="s">
        <v>1326</v>
      </c>
      <c r="J477" s="12" t="str">
        <f>HYPERLINK("https://www.boe.es/gazeta/dias/1803/11/11/pdfs/GMD-1803-91.pdf#page=9","Abrir facsímil")</f>
        <v>Abrir facsímil</v>
      </c>
      <c r="K477" s="15" t="s">
        <v>23</v>
      </c>
    </row>
    <row r="478" spans="1:11" ht="42" customHeight="1">
      <c r="A478" s="4" t="s">
        <v>1327</v>
      </c>
      <c r="B478" s="5" t="s">
        <v>1327</v>
      </c>
      <c r="C478" s="5" t="s">
        <v>40</v>
      </c>
      <c r="D478" s="5" t="s">
        <v>41</v>
      </c>
      <c r="E478" s="5" t="s">
        <v>389</v>
      </c>
      <c r="F478" s="9">
        <v>41</v>
      </c>
      <c r="G478" s="9">
        <v>428</v>
      </c>
      <c r="H478" s="5" t="s">
        <v>21</v>
      </c>
      <c r="I478" s="5" t="s">
        <v>1328</v>
      </c>
      <c r="J478" s="12" t="str">
        <f>HYPERLINK("https://www.boe.es/gazeta/dias/1803/05/24/pdfs/GMD-1803-41.pdf#page=4","Abrir facsímil")</f>
        <v>Abrir facsímil</v>
      </c>
      <c r="K478" s="15" t="s">
        <v>23</v>
      </c>
    </row>
    <row r="479" spans="1:11" ht="42" customHeight="1">
      <c r="A479" s="4" t="s">
        <v>1329</v>
      </c>
      <c r="B479" s="5" t="s">
        <v>1329</v>
      </c>
      <c r="C479" s="5" t="s">
        <v>40</v>
      </c>
      <c r="D479" s="5" t="s">
        <v>41</v>
      </c>
      <c r="E479" s="5" t="s">
        <v>285</v>
      </c>
      <c r="F479" s="9">
        <v>5</v>
      </c>
      <c r="G479" s="9">
        <v>41</v>
      </c>
      <c r="H479" s="5" t="s">
        <v>21</v>
      </c>
      <c r="I479" s="5" t="s">
        <v>1330</v>
      </c>
      <c r="J479" s="12" t="str">
        <f>HYPERLINK("https://www.boe.es/gazeta/dias/1803/01/18/pdfs/GMD-1803-5.pdf#page=5","Abrir facsímil")</f>
        <v>Abrir facsímil</v>
      </c>
      <c r="K479" s="15" t="s">
        <v>23</v>
      </c>
    </row>
    <row r="480" spans="1:11" ht="42" customHeight="1">
      <c r="A480" s="4" t="s">
        <v>1331</v>
      </c>
      <c r="B480" s="5" t="s">
        <v>1332</v>
      </c>
      <c r="C480" s="5" t="s">
        <v>51</v>
      </c>
      <c r="D480" s="5" t="s">
        <v>52</v>
      </c>
      <c r="E480" s="5" t="s">
        <v>203</v>
      </c>
      <c r="F480" s="9">
        <v>32</v>
      </c>
      <c r="G480" s="9">
        <v>336</v>
      </c>
      <c r="H480" s="5" t="s">
        <v>21</v>
      </c>
      <c r="I480" s="5" t="s">
        <v>1333</v>
      </c>
      <c r="J480" s="12" t="str">
        <f>HYPERLINK("https://www.boe.es/gazeta/dias/1803/04/22/pdfs/GMD-1803-32.pdf#page=8","Abrir facsímil")</f>
        <v>Abrir facsímil</v>
      </c>
      <c r="K480" s="15" t="s">
        <v>23</v>
      </c>
    </row>
    <row r="481" spans="1:11" ht="42" customHeight="1">
      <c r="A481" s="4" t="s">
        <v>1334</v>
      </c>
      <c r="B481" s="5" t="s">
        <v>1335</v>
      </c>
      <c r="C481" s="5" t="s">
        <v>26</v>
      </c>
      <c r="D481" s="5" t="s">
        <v>27</v>
      </c>
      <c r="E481" s="5" t="s">
        <v>207</v>
      </c>
      <c r="F481" s="9">
        <v>27</v>
      </c>
      <c r="G481" s="9">
        <v>293</v>
      </c>
      <c r="H481" s="5" t="s">
        <v>21</v>
      </c>
      <c r="I481" s="5" t="s">
        <v>1336</v>
      </c>
      <c r="J481" s="12" t="str">
        <f>HYPERLINK("https://www.boe.es/gazeta/dias/1803/04/05/pdfs/GMD-1803-27.pdf#page=9","Abrir facsímil")</f>
        <v>Abrir facsímil</v>
      </c>
      <c r="K481" s="15" t="s">
        <v>23</v>
      </c>
    </row>
    <row r="482" spans="1:11" ht="42" customHeight="1">
      <c r="A482" s="4" t="s">
        <v>1337</v>
      </c>
      <c r="B482" s="5" t="s">
        <v>1338</v>
      </c>
      <c r="C482" s="5" t="s">
        <v>40</v>
      </c>
      <c r="D482" s="5" t="s">
        <v>41</v>
      </c>
      <c r="E482" s="5" t="s">
        <v>303</v>
      </c>
      <c r="F482" s="9">
        <v>8</v>
      </c>
      <c r="G482" s="9">
        <v>76</v>
      </c>
      <c r="H482" s="5" t="s">
        <v>21</v>
      </c>
      <c r="I482" s="5" t="s">
        <v>1339</v>
      </c>
      <c r="J482" s="12" t="str">
        <f>HYPERLINK("https://www.boe.es/gazeta/dias/1803/01/28/pdfs/GMD-1803-8.pdf#page=4","Abrir facsímil")</f>
        <v>Abrir facsímil</v>
      </c>
      <c r="K482" s="15" t="s">
        <v>23</v>
      </c>
    </row>
    <row r="483" spans="1:11" ht="42" customHeight="1">
      <c r="A483" s="4" t="s">
        <v>1340</v>
      </c>
      <c r="B483" s="5" t="s">
        <v>1341</v>
      </c>
      <c r="C483" s="5" t="s">
        <v>26</v>
      </c>
      <c r="D483" s="5" t="s">
        <v>27</v>
      </c>
      <c r="E483" s="5" t="s">
        <v>606</v>
      </c>
      <c r="F483" s="9">
        <v>47</v>
      </c>
      <c r="G483" s="9">
        <v>499</v>
      </c>
      <c r="H483" s="5" t="s">
        <v>21</v>
      </c>
      <c r="I483" s="5" t="s">
        <v>1342</v>
      </c>
      <c r="J483" s="12" t="str">
        <f>HYPERLINK("https://www.boe.es/gazeta/dias/1803/06/14/pdfs/GMD-1803-47.pdf#page=11","Abrir facsímil")</f>
        <v>Abrir facsímil</v>
      </c>
      <c r="K483" s="15" t="s">
        <v>23</v>
      </c>
    </row>
    <row r="484" spans="1:11" ht="42" customHeight="1">
      <c r="A484" s="4" t="s">
        <v>1340</v>
      </c>
      <c r="B484" s="5" t="s">
        <v>1341</v>
      </c>
      <c r="C484" s="5" t="s">
        <v>26</v>
      </c>
      <c r="D484" s="5" t="s">
        <v>27</v>
      </c>
      <c r="E484" s="5" t="s">
        <v>113</v>
      </c>
      <c r="F484" s="9">
        <v>93</v>
      </c>
      <c r="G484" s="9">
        <v>1000</v>
      </c>
      <c r="H484" s="5" t="s">
        <v>21</v>
      </c>
      <c r="I484" s="5" t="s">
        <v>1343</v>
      </c>
      <c r="J484" s="12" t="str">
        <f>HYPERLINK("https://www.boe.es/gazeta/dias/1803/11/18/pdfs/GMD-1803-93.pdf#page=12","Abrir facsímil")</f>
        <v>Abrir facsímil</v>
      </c>
      <c r="K484" s="15" t="s">
        <v>23</v>
      </c>
    </row>
    <row r="485" spans="1:11" ht="42" customHeight="1">
      <c r="A485" s="4" t="s">
        <v>1344</v>
      </c>
      <c r="B485" s="5" t="s">
        <v>1345</v>
      </c>
      <c r="C485" s="5" t="s">
        <v>26</v>
      </c>
      <c r="D485" s="5" t="s">
        <v>27</v>
      </c>
      <c r="E485" s="5" t="s">
        <v>71</v>
      </c>
      <c r="F485" s="9">
        <v>39</v>
      </c>
      <c r="G485" s="9">
        <v>412</v>
      </c>
      <c r="H485" s="5" t="s">
        <v>21</v>
      </c>
      <c r="I485" s="5" t="s">
        <v>1346</v>
      </c>
      <c r="J485" s="12" t="str">
        <f>HYPERLINK("https://www.boe.es/gazeta/dias/1803/05/17/pdfs/GMD-1803-39.pdf#page=8","Abrir facsímil")</f>
        <v>Abrir facsímil</v>
      </c>
      <c r="K485" s="15" t="s">
        <v>23</v>
      </c>
    </row>
    <row r="486" spans="1:11" ht="42" customHeight="1">
      <c r="A486" s="4" t="s">
        <v>1344</v>
      </c>
      <c r="B486" s="5" t="s">
        <v>1345</v>
      </c>
      <c r="C486" s="5" t="s">
        <v>26</v>
      </c>
      <c r="D486" s="5" t="s">
        <v>27</v>
      </c>
      <c r="E486" s="5" t="s">
        <v>493</v>
      </c>
      <c r="F486" s="9">
        <v>104</v>
      </c>
      <c r="G486" s="9">
        <v>1115</v>
      </c>
      <c r="H486" s="5" t="s">
        <v>21</v>
      </c>
      <c r="I486" s="5" t="s">
        <v>1347</v>
      </c>
      <c r="J486" s="12" t="str">
        <f>HYPERLINK("https://www.boe.es/gazeta/dias/1803/12/27/pdfs/GMD-1803-104.pdf#page=7","Abrir facsímil")</f>
        <v>Abrir facsímil</v>
      </c>
      <c r="K486" s="15" t="s">
        <v>23</v>
      </c>
    </row>
    <row r="487" spans="1:11" ht="42" customHeight="1">
      <c r="A487" s="4" t="s">
        <v>1348</v>
      </c>
      <c r="B487" s="5" t="s">
        <v>1349</v>
      </c>
      <c r="C487" s="5" t="s">
        <v>26</v>
      </c>
      <c r="D487" s="5" t="s">
        <v>27</v>
      </c>
      <c r="E487" s="5" t="s">
        <v>399</v>
      </c>
      <c r="F487" s="9">
        <v>95</v>
      </c>
      <c r="G487" s="9">
        <v>1017</v>
      </c>
      <c r="H487" s="5" t="s">
        <v>21</v>
      </c>
      <c r="I487" s="5" t="s">
        <v>1350</v>
      </c>
      <c r="J487" s="12" t="str">
        <f>HYPERLINK("https://www.boe.es/gazeta/dias/1803/11/25/pdfs/GMD-1803-95.pdf#page=5","Abrir facsímil")</f>
        <v>Abrir facsímil</v>
      </c>
      <c r="K487" s="15" t="s">
        <v>23</v>
      </c>
    </row>
    <row r="488" spans="1:11" ht="42" customHeight="1">
      <c r="A488" s="4" t="s">
        <v>1351</v>
      </c>
      <c r="B488" s="5" t="s">
        <v>1352</v>
      </c>
      <c r="C488" s="5" t="s">
        <v>80</v>
      </c>
      <c r="D488" s="5" t="s">
        <v>81</v>
      </c>
      <c r="E488" s="5" t="s">
        <v>53</v>
      </c>
      <c r="F488" s="9">
        <v>99</v>
      </c>
      <c r="G488" s="9">
        <v>1060</v>
      </c>
      <c r="H488" s="5" t="s">
        <v>21</v>
      </c>
      <c r="I488" s="5" t="s">
        <v>1353</v>
      </c>
      <c r="J488" s="12" t="str">
        <f>HYPERLINK("https://www.boe.es/gazeta/dias/1803/12/09/pdfs/GMD-1803-99.pdf#page=8","Abrir facsímil")</f>
        <v>Abrir facsímil</v>
      </c>
      <c r="K488" s="15" t="s">
        <v>23</v>
      </c>
    </row>
    <row r="489" spans="1:11" ht="42" customHeight="1">
      <c r="A489" s="4" t="s">
        <v>1354</v>
      </c>
      <c r="B489" s="5" t="s">
        <v>1355</v>
      </c>
      <c r="C489" s="5" t="s">
        <v>26</v>
      </c>
      <c r="D489" s="5" t="s">
        <v>27</v>
      </c>
      <c r="E489" s="5" t="s">
        <v>726</v>
      </c>
      <c r="F489" s="9">
        <v>78</v>
      </c>
      <c r="G489" s="9">
        <v>844</v>
      </c>
      <c r="H489" s="5" t="s">
        <v>21</v>
      </c>
      <c r="I489" s="5" t="s">
        <v>1356</v>
      </c>
      <c r="J489" s="12" t="str">
        <f>HYPERLINK("https://www.boe.es/gazeta/dias/1803/09/27/pdfs/GMD-1803-78.pdf#page=8","Abrir facsímil")</f>
        <v>Abrir facsímil</v>
      </c>
      <c r="K489" s="15" t="s">
        <v>23</v>
      </c>
    </row>
    <row r="490" spans="1:11" ht="42" customHeight="1">
      <c r="A490" s="4" t="s">
        <v>1357</v>
      </c>
      <c r="B490" s="5" t="s">
        <v>1358</v>
      </c>
      <c r="C490" s="5" t="s">
        <v>26</v>
      </c>
      <c r="D490" s="5" t="s">
        <v>27</v>
      </c>
      <c r="E490" s="5" t="s">
        <v>336</v>
      </c>
      <c r="F490" s="9">
        <v>105</v>
      </c>
      <c r="G490" s="9">
        <v>1117</v>
      </c>
      <c r="H490" s="5" t="s">
        <v>21</v>
      </c>
      <c r="I490" s="5" t="s">
        <v>1359</v>
      </c>
      <c r="J490" s="12" t="str">
        <f>HYPERLINK("https://www.boe.es/gazeta/dias/1803/12/30/pdfs/GMD-1803-105.pdf#page=1","Abrir facsímil")</f>
        <v>Abrir facsímil</v>
      </c>
      <c r="K490" s="15" t="s">
        <v>23</v>
      </c>
    </row>
    <row r="491" spans="1:11" ht="42" customHeight="1">
      <c r="A491" s="4" t="s">
        <v>1360</v>
      </c>
      <c r="B491" s="5" t="s">
        <v>1361</v>
      </c>
      <c r="C491" s="5" t="s">
        <v>40</v>
      </c>
      <c r="D491" s="5" t="s">
        <v>41</v>
      </c>
      <c r="E491" s="5" t="s">
        <v>336</v>
      </c>
      <c r="F491" s="9">
        <v>105</v>
      </c>
      <c r="G491" s="9">
        <v>1122</v>
      </c>
      <c r="H491" s="5" t="s">
        <v>21</v>
      </c>
      <c r="I491" s="5" t="s">
        <v>1362</v>
      </c>
      <c r="J491" s="12" t="str">
        <f>HYPERLINK("https://www.boe.es/gazeta/dias/1803/12/30/pdfs/GMD-1803-105.pdf#page=6","Abrir facsímil")</f>
        <v>Abrir facsímil</v>
      </c>
      <c r="K491" s="15" t="s">
        <v>23</v>
      </c>
    </row>
    <row r="492" spans="1:11" ht="42" customHeight="1">
      <c r="A492" s="4" t="s">
        <v>1363</v>
      </c>
      <c r="B492" s="5" t="s">
        <v>1364</v>
      </c>
      <c r="C492" s="5" t="s">
        <v>18</v>
      </c>
      <c r="D492" s="5" t="s">
        <v>19</v>
      </c>
      <c r="E492" s="5" t="s">
        <v>523</v>
      </c>
      <c r="F492" s="9">
        <v>101</v>
      </c>
      <c r="G492" s="9">
        <v>1086</v>
      </c>
      <c r="H492" s="5" t="s">
        <v>21</v>
      </c>
      <c r="I492" s="5" t="s">
        <v>1365</v>
      </c>
      <c r="J492" s="12" t="str">
        <f>HYPERLINK("https://www.boe.es/gazeta/dias/1803/12/16/pdfs/GMD-1803-101.pdf#page=10","Abrir facsímil")</f>
        <v>Abrir facsímil</v>
      </c>
      <c r="K492" s="15" t="s">
        <v>23</v>
      </c>
    </row>
    <row r="493" spans="1:11" ht="42" customHeight="1">
      <c r="A493" s="4" t="s">
        <v>1366</v>
      </c>
      <c r="B493" s="5" t="s">
        <v>1367</v>
      </c>
      <c r="C493" s="5" t="s">
        <v>51</v>
      </c>
      <c r="D493" s="5" t="s">
        <v>52</v>
      </c>
      <c r="E493" s="5" t="s">
        <v>258</v>
      </c>
      <c r="F493" s="9">
        <v>7</v>
      </c>
      <c r="G493" s="9">
        <v>69</v>
      </c>
      <c r="H493" s="5" t="s">
        <v>21</v>
      </c>
      <c r="I493" s="5" t="s">
        <v>1368</v>
      </c>
      <c r="J493" s="12" t="str">
        <f>HYPERLINK("https://www.boe.es/gazeta/dias/1803/01/25/pdfs/GMD-1803-7.pdf#page=9","Abrir facsímil")</f>
        <v>Abrir facsímil</v>
      </c>
      <c r="K493" s="15" t="s">
        <v>23</v>
      </c>
    </row>
    <row r="494" spans="1:11" ht="42" customHeight="1">
      <c r="A494" s="4" t="s">
        <v>1366</v>
      </c>
      <c r="B494" s="5" t="s">
        <v>1367</v>
      </c>
      <c r="C494" s="5" t="s">
        <v>51</v>
      </c>
      <c r="D494" s="5" t="s">
        <v>52</v>
      </c>
      <c r="E494" s="5" t="s">
        <v>630</v>
      </c>
      <c r="F494" s="9">
        <v>85</v>
      </c>
      <c r="G494" s="9">
        <v>917</v>
      </c>
      <c r="H494" s="5" t="s">
        <v>21</v>
      </c>
      <c r="I494" s="5" t="s">
        <v>1369</v>
      </c>
      <c r="J494" s="12" t="str">
        <f>HYPERLINK("https://www.boe.es/gazeta/dias/1803/10/21/pdfs/GMD-1803-85.pdf#page=9","Abrir facsímil")</f>
        <v>Abrir facsímil</v>
      </c>
      <c r="K494" s="15" t="s">
        <v>23</v>
      </c>
    </row>
    <row r="495" spans="1:11" ht="42" customHeight="1">
      <c r="A495" s="4" t="s">
        <v>1366</v>
      </c>
      <c r="B495" s="5" t="s">
        <v>1367</v>
      </c>
      <c r="C495" s="5" t="s">
        <v>51</v>
      </c>
      <c r="D495" s="5" t="s">
        <v>52</v>
      </c>
      <c r="E495" s="5" t="s">
        <v>630</v>
      </c>
      <c r="F495" s="9">
        <v>85</v>
      </c>
      <c r="G495" s="9">
        <v>918</v>
      </c>
      <c r="H495" s="5" t="s">
        <v>21</v>
      </c>
      <c r="I495" s="5" t="s">
        <v>1370</v>
      </c>
      <c r="J495" s="12" t="str">
        <f>HYPERLINK("https://www.boe.es/gazeta/dias/1803/10/21/pdfs/GMD-1803-85.pdf#page=10","Abrir facsímil")</f>
        <v>Abrir facsímil</v>
      </c>
      <c r="K495" s="15" t="s">
        <v>23</v>
      </c>
    </row>
    <row r="496" spans="1:11" ht="42" customHeight="1">
      <c r="A496" s="4" t="s">
        <v>1366</v>
      </c>
      <c r="B496" s="5" t="s">
        <v>1367</v>
      </c>
      <c r="C496" s="5" t="s">
        <v>51</v>
      </c>
      <c r="D496" s="5" t="s">
        <v>52</v>
      </c>
      <c r="E496" s="5" t="s">
        <v>571</v>
      </c>
      <c r="F496" s="9">
        <v>103</v>
      </c>
      <c r="G496" s="9">
        <v>1106</v>
      </c>
      <c r="H496" s="5" t="s">
        <v>21</v>
      </c>
      <c r="I496" s="5" t="s">
        <v>1371</v>
      </c>
      <c r="J496" s="12" t="str">
        <f>HYPERLINK("https://www.boe.es/gazeta/dias/1803/12/23/pdfs/GMD-1803-103.pdf#page=6","Abrir facsímil")</f>
        <v>Abrir facsímil</v>
      </c>
      <c r="K496" s="15" t="s">
        <v>23</v>
      </c>
    </row>
    <row r="497" spans="1:11" ht="42" customHeight="1">
      <c r="A497" s="4" t="s">
        <v>1372</v>
      </c>
      <c r="B497" s="5" t="s">
        <v>1373</v>
      </c>
      <c r="C497" s="5" t="s">
        <v>51</v>
      </c>
      <c r="D497" s="5" t="s">
        <v>52</v>
      </c>
      <c r="E497" s="5" t="s">
        <v>152</v>
      </c>
      <c r="F497" s="9">
        <v>16</v>
      </c>
      <c r="G497" s="9">
        <v>168</v>
      </c>
      <c r="H497" s="5" t="s">
        <v>21</v>
      </c>
      <c r="I497" s="5" t="s">
        <v>1374</v>
      </c>
      <c r="J497" s="12" t="str">
        <f>HYPERLINK("https://www.boe.es/gazeta/dias/1803/02/25/pdfs/GMD-1803-16.pdf#page=8","Abrir facsímil")</f>
        <v>Abrir facsímil</v>
      </c>
      <c r="K497" s="15" t="s">
        <v>23</v>
      </c>
    </row>
    <row r="498" spans="1:11" ht="42" customHeight="1">
      <c r="A498" s="4" t="s">
        <v>1375</v>
      </c>
      <c r="B498" s="5" t="s">
        <v>1376</v>
      </c>
      <c r="C498" s="5" t="s">
        <v>26</v>
      </c>
      <c r="D498" s="5" t="s">
        <v>27</v>
      </c>
      <c r="E498" s="5" t="s">
        <v>278</v>
      </c>
      <c r="F498" s="9">
        <v>46</v>
      </c>
      <c r="G498" s="9">
        <v>486</v>
      </c>
      <c r="H498" s="5" t="s">
        <v>21</v>
      </c>
      <c r="I498" s="5" t="s">
        <v>1377</v>
      </c>
      <c r="J498" s="12" t="str">
        <f>HYPERLINK("https://www.boe.es/gazeta/dias/1803/06/10/pdfs/GMD-1803-46.pdf#page=10","Abrir facsímil")</f>
        <v>Abrir facsímil</v>
      </c>
      <c r="K498" s="15" t="s">
        <v>23</v>
      </c>
    </row>
    <row r="499" spans="1:11" ht="42" customHeight="1">
      <c r="A499" s="4" t="s">
        <v>1378</v>
      </c>
      <c r="B499" s="5" t="s">
        <v>1379</v>
      </c>
      <c r="C499" s="5" t="s">
        <v>26</v>
      </c>
      <c r="D499" s="5" t="s">
        <v>27</v>
      </c>
      <c r="E499" s="5" t="s">
        <v>630</v>
      </c>
      <c r="F499" s="9">
        <v>85</v>
      </c>
      <c r="G499" s="9">
        <v>917</v>
      </c>
      <c r="H499" s="5" t="s">
        <v>21</v>
      </c>
      <c r="I499" s="5" t="s">
        <v>1380</v>
      </c>
      <c r="J499" s="12" t="str">
        <f>HYPERLINK("https://www.boe.es/gazeta/dias/1803/10/21/pdfs/GMD-1803-85.pdf#page=9","Abrir facsímil")</f>
        <v>Abrir facsímil</v>
      </c>
      <c r="K499" s="15" t="s">
        <v>23</v>
      </c>
    </row>
    <row r="500" spans="1:11" ht="42" customHeight="1">
      <c r="A500" s="4" t="s">
        <v>1381</v>
      </c>
      <c r="B500" s="5" t="s">
        <v>1382</v>
      </c>
      <c r="C500" s="5" t="s">
        <v>26</v>
      </c>
      <c r="D500" s="5" t="s">
        <v>27</v>
      </c>
      <c r="E500" s="5" t="s">
        <v>285</v>
      </c>
      <c r="F500" s="9">
        <v>5</v>
      </c>
      <c r="G500" s="9">
        <v>46</v>
      </c>
      <c r="H500" s="5" t="s">
        <v>21</v>
      </c>
      <c r="I500" s="5" t="s">
        <v>1383</v>
      </c>
      <c r="J500" s="12" t="str">
        <f>HYPERLINK("https://www.boe.es/gazeta/dias/1803/01/18/pdfs/GMD-1803-5.pdf#page=10","Abrir facsímil")</f>
        <v>Abrir facsímil</v>
      </c>
      <c r="K500" s="15" t="s">
        <v>23</v>
      </c>
    </row>
    <row r="501" spans="1:11" ht="42" customHeight="1">
      <c r="A501" s="4" t="s">
        <v>1384</v>
      </c>
      <c r="B501" s="5" t="s">
        <v>1385</v>
      </c>
      <c r="C501" s="5" t="s">
        <v>26</v>
      </c>
      <c r="D501" s="5" t="s">
        <v>27</v>
      </c>
      <c r="E501" s="5" t="s">
        <v>555</v>
      </c>
      <c r="F501" s="9">
        <v>83</v>
      </c>
      <c r="G501" s="9">
        <v>894</v>
      </c>
      <c r="H501" s="5" t="s">
        <v>21</v>
      </c>
      <c r="I501" s="5" t="s">
        <v>1386</v>
      </c>
      <c r="J501" s="12" t="str">
        <f>HYPERLINK("https://www.boe.es/gazeta/dias/1803/10/14/pdfs/GMD-1803-83.pdf#page=6","Abrir facsímil")</f>
        <v>Abrir facsímil</v>
      </c>
      <c r="K501" s="15" t="s">
        <v>23</v>
      </c>
    </row>
    <row r="502" spans="1:11" ht="42" customHeight="1">
      <c r="A502" s="4" t="s">
        <v>1387</v>
      </c>
      <c r="B502" s="5" t="s">
        <v>1388</v>
      </c>
      <c r="C502" s="5" t="s">
        <v>51</v>
      </c>
      <c r="D502" s="5" t="s">
        <v>52</v>
      </c>
      <c r="E502" s="5" t="s">
        <v>109</v>
      </c>
      <c r="F502" s="9">
        <v>102</v>
      </c>
      <c r="G502" s="9">
        <v>1097</v>
      </c>
      <c r="H502" s="5" t="s">
        <v>21</v>
      </c>
      <c r="I502" s="5" t="s">
        <v>1389</v>
      </c>
      <c r="J502" s="12" t="str">
        <f>HYPERLINK("https://www.boe.es/gazeta/dias/1803/12/20/pdfs/GMD-1803-102.pdf#page=9","Abrir facsímil")</f>
        <v>Abrir facsímil</v>
      </c>
      <c r="K502" s="15" t="s">
        <v>23</v>
      </c>
    </row>
    <row r="503" spans="1:11" ht="42" customHeight="1">
      <c r="A503" s="4" t="s">
        <v>1390</v>
      </c>
      <c r="B503" s="5" t="s">
        <v>1391</v>
      </c>
      <c r="C503" s="5" t="s">
        <v>51</v>
      </c>
      <c r="D503" s="5" t="s">
        <v>52</v>
      </c>
      <c r="E503" s="5" t="s">
        <v>109</v>
      </c>
      <c r="F503" s="9">
        <v>102</v>
      </c>
      <c r="G503" s="9">
        <v>1097</v>
      </c>
      <c r="H503" s="5" t="s">
        <v>21</v>
      </c>
      <c r="I503" s="5" t="s">
        <v>1392</v>
      </c>
      <c r="J503" s="12" t="str">
        <f>HYPERLINK("https://www.boe.es/gazeta/dias/1803/12/20/pdfs/GMD-1803-102.pdf#page=9","Abrir facsímil")</f>
        <v>Abrir facsímil</v>
      </c>
      <c r="K503" s="15" t="s">
        <v>23</v>
      </c>
    </row>
    <row r="504" spans="1:11" ht="42" customHeight="1">
      <c r="A504" s="4" t="s">
        <v>1393</v>
      </c>
      <c r="B504" s="5" t="s">
        <v>1394</v>
      </c>
      <c r="C504" s="5" t="s">
        <v>26</v>
      </c>
      <c r="D504" s="5" t="s">
        <v>27</v>
      </c>
      <c r="E504" s="5" t="s">
        <v>148</v>
      </c>
      <c r="F504" s="9">
        <v>15</v>
      </c>
      <c r="G504" s="9">
        <v>157</v>
      </c>
      <c r="H504" s="5" t="s">
        <v>21</v>
      </c>
      <c r="I504" s="5" t="s">
        <v>1395</v>
      </c>
      <c r="J504" s="12" t="str">
        <f>HYPERLINK("https://www.boe.es/gazeta/dias/1803/02/22/pdfs/GMD-1803-15.pdf#page=9","Abrir facsímil")</f>
        <v>Abrir facsímil</v>
      </c>
      <c r="K504" s="15" t="s">
        <v>23</v>
      </c>
    </row>
    <row r="505" spans="1:11" ht="42" customHeight="1">
      <c r="A505" s="4" t="s">
        <v>1396</v>
      </c>
      <c r="B505" s="5" t="s">
        <v>1397</v>
      </c>
      <c r="C505" s="5" t="s">
        <v>26</v>
      </c>
      <c r="D505" s="5" t="s">
        <v>27</v>
      </c>
      <c r="E505" s="5" t="s">
        <v>403</v>
      </c>
      <c r="F505" s="9">
        <v>91</v>
      </c>
      <c r="G505" s="9">
        <v>977</v>
      </c>
      <c r="H505" s="5" t="s">
        <v>21</v>
      </c>
      <c r="I505" s="5" t="s">
        <v>1398</v>
      </c>
      <c r="J505" s="12" t="str">
        <f>HYPERLINK("https://www.boe.es/gazeta/dias/1803/11/11/pdfs/GMD-1803-91.pdf#page=9","Abrir facsímil")</f>
        <v>Abrir facsímil</v>
      </c>
      <c r="K505" s="15" t="s">
        <v>23</v>
      </c>
    </row>
    <row r="506" spans="1:11" ht="42" customHeight="1">
      <c r="A506" s="4" t="s">
        <v>1399</v>
      </c>
      <c r="B506" s="5" t="s">
        <v>1400</v>
      </c>
      <c r="C506" s="5" t="s">
        <v>26</v>
      </c>
      <c r="D506" s="5" t="s">
        <v>27</v>
      </c>
      <c r="E506" s="5" t="s">
        <v>152</v>
      </c>
      <c r="F506" s="9">
        <v>16</v>
      </c>
      <c r="G506" s="9">
        <v>166</v>
      </c>
      <c r="H506" s="5" t="s">
        <v>21</v>
      </c>
      <c r="I506" s="5" t="s">
        <v>1401</v>
      </c>
      <c r="J506" s="12" t="str">
        <f>HYPERLINK("https://www.boe.es/gazeta/dias/1803/02/25/pdfs/GMD-1803-16.pdf#page=6","Abrir facsímil")</f>
        <v>Abrir facsímil</v>
      </c>
      <c r="K506" s="15" t="s">
        <v>23</v>
      </c>
    </row>
    <row r="507" spans="1:11" ht="42" customHeight="1">
      <c r="A507" s="4" t="s">
        <v>1402</v>
      </c>
      <c r="B507" s="5" t="s">
        <v>1403</v>
      </c>
      <c r="C507" s="5" t="s">
        <v>51</v>
      </c>
      <c r="D507" s="5" t="s">
        <v>52</v>
      </c>
      <c r="E507" s="5" t="s">
        <v>189</v>
      </c>
      <c r="F507" s="9">
        <v>9</v>
      </c>
      <c r="G507" s="9">
        <v>91</v>
      </c>
      <c r="H507" s="5" t="s">
        <v>21</v>
      </c>
      <c r="I507" s="5" t="s">
        <v>1404</v>
      </c>
      <c r="J507" s="12" t="str">
        <f>HYPERLINK("https://www.boe.es/gazeta/dias/1803/02/01/pdfs/GMD-1803-9.pdf#page=7","Abrir facsímil")</f>
        <v>Abrir facsímil</v>
      </c>
      <c r="K507" s="15" t="s">
        <v>23</v>
      </c>
    </row>
    <row r="508" spans="1:11" ht="42" customHeight="1">
      <c r="A508" s="4" t="s">
        <v>1405</v>
      </c>
      <c r="B508" s="5" t="s">
        <v>1406</v>
      </c>
      <c r="C508" s="5" t="s">
        <v>51</v>
      </c>
      <c r="D508" s="5" t="s">
        <v>52</v>
      </c>
      <c r="E508" s="5" t="s">
        <v>373</v>
      </c>
      <c r="F508" s="9">
        <v>77</v>
      </c>
      <c r="G508" s="9">
        <v>833</v>
      </c>
      <c r="H508" s="5" t="s">
        <v>21</v>
      </c>
      <c r="I508" s="5" t="s">
        <v>1407</v>
      </c>
      <c r="J508" s="12" t="str">
        <f>HYPERLINK("https://www.boe.es/gazeta/dias/1803/09/23/pdfs/GMD-1803-77.pdf#page=9","Abrir facsímil")</f>
        <v>Abrir facsímil</v>
      </c>
      <c r="K508" s="15" t="s">
        <v>23</v>
      </c>
    </row>
    <row r="509" spans="1:11" ht="42" customHeight="1">
      <c r="A509" s="4" t="s">
        <v>1408</v>
      </c>
      <c r="B509" s="5" t="s">
        <v>1409</v>
      </c>
      <c r="C509" s="5" t="s">
        <v>26</v>
      </c>
      <c r="D509" s="5" t="s">
        <v>27</v>
      </c>
      <c r="E509" s="5" t="s">
        <v>152</v>
      </c>
      <c r="F509" s="9">
        <v>16</v>
      </c>
      <c r="G509" s="9">
        <v>166</v>
      </c>
      <c r="H509" s="5" t="s">
        <v>21</v>
      </c>
      <c r="I509" s="5" t="s">
        <v>1410</v>
      </c>
      <c r="J509" s="12" t="str">
        <f>HYPERLINK("https://www.boe.es/gazeta/dias/1803/02/25/pdfs/GMD-1803-16.pdf#page=6","Abrir facsímil")</f>
        <v>Abrir facsímil</v>
      </c>
      <c r="K509" s="15" t="s">
        <v>23</v>
      </c>
    </row>
    <row r="510" spans="1:11" ht="42" customHeight="1">
      <c r="A510" s="4" t="s">
        <v>1411</v>
      </c>
      <c r="B510" s="5" t="s">
        <v>1412</v>
      </c>
      <c r="C510" s="5" t="s">
        <v>80</v>
      </c>
      <c r="D510" s="5" t="s">
        <v>81</v>
      </c>
      <c r="E510" s="5" t="s">
        <v>480</v>
      </c>
      <c r="F510" s="9">
        <v>87</v>
      </c>
      <c r="G510" s="9">
        <v>940</v>
      </c>
      <c r="H510" s="5" t="s">
        <v>21</v>
      </c>
      <c r="I510" s="5" t="s">
        <v>1413</v>
      </c>
      <c r="J510" s="12" t="str">
        <f>HYPERLINK("https://www.boe.es/gazeta/dias/1803/10/28/pdfs/GMD-1803-87.pdf#page=8","Abrir facsímil")</f>
        <v>Abrir facsímil</v>
      </c>
      <c r="K510" s="15" t="s">
        <v>23</v>
      </c>
    </row>
    <row r="511" spans="1:11" ht="42" customHeight="1">
      <c r="A511" s="4" t="s">
        <v>1414</v>
      </c>
      <c r="B511" s="5" t="s">
        <v>1414</v>
      </c>
      <c r="C511" s="5" t="s">
        <v>51</v>
      </c>
      <c r="D511" s="5" t="s">
        <v>52</v>
      </c>
      <c r="E511" s="5" t="s">
        <v>726</v>
      </c>
      <c r="F511" s="9">
        <v>78</v>
      </c>
      <c r="G511" s="9">
        <v>844</v>
      </c>
      <c r="H511" s="5" t="s">
        <v>21</v>
      </c>
      <c r="I511" s="5" t="s">
        <v>1415</v>
      </c>
      <c r="J511" s="12" t="str">
        <f>HYPERLINK("https://www.boe.es/gazeta/dias/1803/09/27/pdfs/GMD-1803-78.pdf#page=8","Abrir facsímil")</f>
        <v>Abrir facsímil</v>
      </c>
      <c r="K511" s="15" t="s">
        <v>23</v>
      </c>
    </row>
    <row r="512" spans="1:11" ht="42" customHeight="1">
      <c r="A512" s="4" t="s">
        <v>1416</v>
      </c>
      <c r="B512" s="5" t="s">
        <v>1417</v>
      </c>
      <c r="C512" s="5" t="s">
        <v>26</v>
      </c>
      <c r="D512" s="5" t="s">
        <v>27</v>
      </c>
      <c r="E512" s="5" t="s">
        <v>403</v>
      </c>
      <c r="F512" s="9">
        <v>91</v>
      </c>
      <c r="G512" s="9">
        <v>977</v>
      </c>
      <c r="H512" s="5" t="s">
        <v>21</v>
      </c>
      <c r="I512" s="5" t="s">
        <v>1418</v>
      </c>
      <c r="J512" s="12" t="str">
        <f>HYPERLINK("https://www.boe.es/gazeta/dias/1803/11/11/pdfs/GMD-1803-91.pdf#page=9","Abrir facsímil")</f>
        <v>Abrir facsímil</v>
      </c>
      <c r="K512" s="15" t="s">
        <v>23</v>
      </c>
    </row>
    <row r="513" spans="1:11" ht="42" customHeight="1">
      <c r="A513" s="4" t="s">
        <v>1419</v>
      </c>
      <c r="B513" s="5" t="s">
        <v>1419</v>
      </c>
      <c r="C513" s="5" t="s">
        <v>26</v>
      </c>
      <c r="D513" s="5" t="s">
        <v>27</v>
      </c>
      <c r="E513" s="5" t="s">
        <v>109</v>
      </c>
      <c r="F513" s="9">
        <v>102</v>
      </c>
      <c r="G513" s="9">
        <v>1098</v>
      </c>
      <c r="H513" s="5" t="s">
        <v>21</v>
      </c>
      <c r="I513" s="5" t="s">
        <v>1420</v>
      </c>
      <c r="J513" s="12" t="str">
        <f>HYPERLINK("https://www.boe.es/gazeta/dias/1803/12/20/pdfs/GMD-1803-102.pdf#page=10","Abrir facsímil")</f>
        <v>Abrir facsímil</v>
      </c>
      <c r="K513" s="15" t="s">
        <v>23</v>
      </c>
    </row>
    <row r="514" spans="1:11" ht="42" customHeight="1">
      <c r="A514" s="4" t="s">
        <v>1421</v>
      </c>
      <c r="B514" s="5" t="s">
        <v>1422</v>
      </c>
      <c r="C514" s="5" t="s">
        <v>46</v>
      </c>
      <c r="D514" s="5" t="s">
        <v>19</v>
      </c>
      <c r="E514" s="5" t="s">
        <v>726</v>
      </c>
      <c r="F514" s="9">
        <v>78</v>
      </c>
      <c r="G514" s="9">
        <v>844</v>
      </c>
      <c r="H514" s="5" t="s">
        <v>21</v>
      </c>
      <c r="I514" s="5" t="s">
        <v>1423</v>
      </c>
      <c r="J514" s="12" t="str">
        <f>HYPERLINK("https://www.boe.es/gazeta/dias/1803/09/27/pdfs/GMD-1803-78.pdf#page=8","Abrir facsímil")</f>
        <v>Abrir facsímil</v>
      </c>
      <c r="K514" s="15" t="s">
        <v>23</v>
      </c>
    </row>
    <row r="515" spans="1:11" ht="42" customHeight="1">
      <c r="A515" s="4" t="s">
        <v>1424</v>
      </c>
      <c r="B515" s="5" t="s">
        <v>1425</v>
      </c>
      <c r="C515" s="5" t="s">
        <v>18</v>
      </c>
      <c r="D515" s="5" t="s">
        <v>19</v>
      </c>
      <c r="E515" s="5" t="s">
        <v>373</v>
      </c>
      <c r="F515" s="9">
        <v>77</v>
      </c>
      <c r="G515" s="9">
        <v>833</v>
      </c>
      <c r="H515" s="5" t="s">
        <v>21</v>
      </c>
      <c r="I515" s="5" t="s">
        <v>1426</v>
      </c>
      <c r="J515" s="12" t="str">
        <f>HYPERLINK("https://www.boe.es/gazeta/dias/1803/09/23/pdfs/GMD-1803-77.pdf#page=9","Abrir facsímil")</f>
        <v>Abrir facsímil</v>
      </c>
      <c r="K515" s="15" t="s">
        <v>23</v>
      </c>
    </row>
    <row r="516" spans="1:11" ht="42" customHeight="1">
      <c r="A516" s="4" t="s">
        <v>1427</v>
      </c>
      <c r="B516" s="5" t="s">
        <v>1428</v>
      </c>
      <c r="C516" s="5" t="s">
        <v>18</v>
      </c>
      <c r="D516" s="5" t="s">
        <v>19</v>
      </c>
      <c r="E516" s="5" t="s">
        <v>109</v>
      </c>
      <c r="F516" s="9">
        <v>102</v>
      </c>
      <c r="G516" s="9">
        <v>1097</v>
      </c>
      <c r="H516" s="5" t="s">
        <v>21</v>
      </c>
      <c r="I516" s="5" t="s">
        <v>1429</v>
      </c>
      <c r="J516" s="12" t="str">
        <f>HYPERLINK("https://www.boe.es/gazeta/dias/1803/12/20/pdfs/GMD-1803-102.pdf#page=9","Abrir facsímil")</f>
        <v>Abrir facsímil</v>
      </c>
      <c r="K516" s="15" t="s">
        <v>23</v>
      </c>
    </row>
    <row r="517" spans="1:11" ht="42" customHeight="1">
      <c r="A517" s="4" t="s">
        <v>1430</v>
      </c>
      <c r="B517" s="5" t="s">
        <v>1431</v>
      </c>
      <c r="C517" s="5" t="s">
        <v>40</v>
      </c>
      <c r="D517" s="5" t="s">
        <v>41</v>
      </c>
      <c r="E517" s="5" t="s">
        <v>178</v>
      </c>
      <c r="F517" s="9">
        <v>36</v>
      </c>
      <c r="G517" s="9">
        <v>370</v>
      </c>
      <c r="H517" s="5" t="s">
        <v>21</v>
      </c>
      <c r="I517" s="5" t="s">
        <v>1432</v>
      </c>
      <c r="J517" s="12" t="str">
        <f>HYPERLINK("https://www.boe.es/gazeta/dias/1803/05/06/pdfs/GMD-1803-36.pdf#page=2","Abrir facsímil")</f>
        <v>Abrir facsímil</v>
      </c>
      <c r="K517" s="15" t="s">
        <v>23</v>
      </c>
    </row>
    <row r="518" spans="1:11" ht="42" customHeight="1">
      <c r="A518" s="4" t="s">
        <v>1433</v>
      </c>
      <c r="B518" s="5" t="s">
        <v>1434</v>
      </c>
      <c r="C518" s="5" t="s">
        <v>51</v>
      </c>
      <c r="D518" s="5" t="s">
        <v>52</v>
      </c>
      <c r="E518" s="5" t="s">
        <v>113</v>
      </c>
      <c r="F518" s="9">
        <v>93</v>
      </c>
      <c r="G518" s="9">
        <v>997</v>
      </c>
      <c r="H518" s="5" t="s">
        <v>21</v>
      </c>
      <c r="I518" s="5" t="s">
        <v>1435</v>
      </c>
      <c r="J518" s="12" t="str">
        <f>HYPERLINK("https://www.boe.es/gazeta/dias/1803/11/18/pdfs/GMD-1803-93.pdf#page=9","Abrir facsímil")</f>
        <v>Abrir facsímil</v>
      </c>
      <c r="K518" s="15" t="s">
        <v>23</v>
      </c>
    </row>
    <row r="519" spans="1:11" ht="42" customHeight="1">
      <c r="A519" s="4" t="s">
        <v>1436</v>
      </c>
      <c r="B519" s="5" t="s">
        <v>1437</v>
      </c>
      <c r="C519" s="5" t="s">
        <v>26</v>
      </c>
      <c r="D519" s="5" t="s">
        <v>27</v>
      </c>
      <c r="E519" s="5" t="s">
        <v>68</v>
      </c>
      <c r="F519" s="9">
        <v>23</v>
      </c>
      <c r="G519" s="9">
        <v>246</v>
      </c>
      <c r="H519" s="5" t="s">
        <v>21</v>
      </c>
      <c r="I519" s="5" t="s">
        <v>1438</v>
      </c>
      <c r="J519" s="12" t="str">
        <f>HYPERLINK("https://www.boe.es/gazeta/dias/1803/03/22/pdfs/GMD-1803-23.pdf#page=6","Abrir facsímil")</f>
        <v>Abrir facsímil</v>
      </c>
      <c r="K519" s="15" t="s">
        <v>23</v>
      </c>
    </row>
    <row r="520" spans="1:11" ht="42" customHeight="1">
      <c r="A520" s="4" t="s">
        <v>1439</v>
      </c>
      <c r="B520" s="5" t="s">
        <v>1439</v>
      </c>
      <c r="C520" s="5" t="s">
        <v>40</v>
      </c>
      <c r="D520" s="5" t="s">
        <v>41</v>
      </c>
      <c r="E520" s="5" t="s">
        <v>261</v>
      </c>
      <c r="F520" s="9">
        <v>70</v>
      </c>
      <c r="G520" s="9">
        <v>764</v>
      </c>
      <c r="H520" s="5" t="s">
        <v>21</v>
      </c>
      <c r="I520" s="5" t="s">
        <v>1440</v>
      </c>
      <c r="J520" s="12" t="str">
        <f>HYPERLINK("https://www.boe.es/gazeta/dias/1803/09/02/pdfs/GMD-1803-70.pdf#page=4","Abrir facsímil")</f>
        <v>Abrir facsímil</v>
      </c>
      <c r="K520" s="15" t="s">
        <v>23</v>
      </c>
    </row>
    <row r="521" spans="1:11" ht="42" customHeight="1">
      <c r="A521" s="4" t="s">
        <v>1441</v>
      </c>
      <c r="B521" s="5" t="s">
        <v>1442</v>
      </c>
      <c r="C521" s="5" t="s">
        <v>51</v>
      </c>
      <c r="D521" s="5" t="s">
        <v>52</v>
      </c>
      <c r="E521" s="5" t="s">
        <v>403</v>
      </c>
      <c r="F521" s="9">
        <v>91</v>
      </c>
      <c r="G521" s="9">
        <v>978</v>
      </c>
      <c r="H521" s="5" t="s">
        <v>21</v>
      </c>
      <c r="I521" s="5" t="s">
        <v>1443</v>
      </c>
      <c r="J521" s="12" t="str">
        <f>HYPERLINK("https://www.boe.es/gazeta/dias/1803/11/11/pdfs/GMD-1803-91.pdf#page=10","Abrir facsímil")</f>
        <v>Abrir facsímil</v>
      </c>
      <c r="K521" s="15" t="s">
        <v>23</v>
      </c>
    </row>
    <row r="522" spans="1:11" ht="42" customHeight="1">
      <c r="A522" s="4" t="s">
        <v>1444</v>
      </c>
      <c r="B522" s="5" t="s">
        <v>1445</v>
      </c>
      <c r="C522" s="5" t="s">
        <v>51</v>
      </c>
      <c r="D522" s="5" t="s">
        <v>52</v>
      </c>
      <c r="E522" s="5" t="s">
        <v>109</v>
      </c>
      <c r="F522" s="9">
        <v>102</v>
      </c>
      <c r="G522" s="9">
        <v>1097</v>
      </c>
      <c r="H522" s="5" t="s">
        <v>21</v>
      </c>
      <c r="I522" s="5" t="s">
        <v>1446</v>
      </c>
      <c r="J522" s="12" t="str">
        <f>HYPERLINK("https://www.boe.es/gazeta/dias/1803/12/20/pdfs/GMD-1803-102.pdf#page=9","Abrir facsímil")</f>
        <v>Abrir facsímil</v>
      </c>
      <c r="K522" s="15" t="s">
        <v>23</v>
      </c>
    </row>
    <row r="523" spans="1:11" ht="42" customHeight="1">
      <c r="A523" s="4" t="s">
        <v>1447</v>
      </c>
      <c r="B523" s="5" t="s">
        <v>1448</v>
      </c>
      <c r="C523" s="5" t="s">
        <v>26</v>
      </c>
      <c r="D523" s="5" t="s">
        <v>27</v>
      </c>
      <c r="E523" s="5" t="s">
        <v>191</v>
      </c>
      <c r="F523" s="9">
        <v>34</v>
      </c>
      <c r="G523" s="9">
        <v>358</v>
      </c>
      <c r="H523" s="5" t="s">
        <v>21</v>
      </c>
      <c r="I523" s="5" t="s">
        <v>1449</v>
      </c>
      <c r="J523" s="12" t="str">
        <f>HYPERLINK("https://www.boe.es/gazeta/dias/1803/04/29/pdfs/GMD-1803-34.pdf#page=6","Abrir facsímil")</f>
        <v>Abrir facsímil</v>
      </c>
      <c r="K523" s="15" t="s">
        <v>23</v>
      </c>
    </row>
    <row r="524" spans="1:11" ht="42" customHeight="1">
      <c r="A524" s="4" t="s">
        <v>1450</v>
      </c>
      <c r="B524" s="5" t="s">
        <v>1451</v>
      </c>
      <c r="C524" s="5" t="s">
        <v>26</v>
      </c>
      <c r="D524" s="5" t="s">
        <v>27</v>
      </c>
      <c r="E524" s="5" t="s">
        <v>332</v>
      </c>
      <c r="F524" s="9">
        <v>11</v>
      </c>
      <c r="G524" s="9">
        <v>110</v>
      </c>
      <c r="H524" s="5" t="s">
        <v>21</v>
      </c>
      <c r="I524" s="5" t="s">
        <v>1452</v>
      </c>
      <c r="J524" s="12" t="str">
        <f>HYPERLINK("https://www.boe.es/gazeta/dias/1803/02/08/pdfs/GMD-1803-11.pdf#page=6","Abrir facsímil")</f>
        <v>Abrir facsímil</v>
      </c>
      <c r="K524" s="15" t="s">
        <v>23</v>
      </c>
    </row>
    <row r="525" spans="1:11" ht="42" customHeight="1">
      <c r="A525" s="4" t="s">
        <v>1453</v>
      </c>
      <c r="B525" s="5" t="s">
        <v>1454</v>
      </c>
      <c r="C525" s="5" t="s">
        <v>40</v>
      </c>
      <c r="D525" s="5" t="s">
        <v>41</v>
      </c>
      <c r="E525" s="5" t="s">
        <v>361</v>
      </c>
      <c r="F525" s="9">
        <v>62</v>
      </c>
      <c r="G525" s="9">
        <v>673</v>
      </c>
      <c r="H525" s="5" t="s">
        <v>21</v>
      </c>
      <c r="I525" s="5" t="s">
        <v>1455</v>
      </c>
      <c r="J525" s="12" t="str">
        <f>HYPERLINK("https://www.boe.es/gazeta/dias/1803/08/05/pdfs/GMD-1803-62.pdf#page=5","Abrir facsímil")</f>
        <v>Abrir facsímil</v>
      </c>
      <c r="K525" s="15" t="s">
        <v>23</v>
      </c>
    </row>
    <row r="526" spans="1:11" ht="42" customHeight="1">
      <c r="A526" s="4" t="s">
        <v>1456</v>
      </c>
      <c r="B526" s="5" t="s">
        <v>1457</v>
      </c>
      <c r="C526" s="5" t="s">
        <v>26</v>
      </c>
      <c r="D526" s="5" t="s">
        <v>27</v>
      </c>
      <c r="E526" s="5" t="s">
        <v>657</v>
      </c>
      <c r="F526" s="9">
        <v>24</v>
      </c>
      <c r="G526" s="9">
        <v>256</v>
      </c>
      <c r="H526" s="5" t="s">
        <v>21</v>
      </c>
      <c r="I526" s="5" t="s">
        <v>1458</v>
      </c>
      <c r="J526" s="12" t="str">
        <f>HYPERLINK("https://www.boe.es/gazeta/dias/1803/03/25/pdfs/GMD-1803-24.pdf#page=8","Abrir facsímil")</f>
        <v>Abrir facsímil</v>
      </c>
      <c r="K526" s="15" t="s">
        <v>23</v>
      </c>
    </row>
    <row r="527" spans="1:11" ht="42" customHeight="1">
      <c r="A527" s="4" t="s">
        <v>1459</v>
      </c>
      <c r="B527" s="5" t="s">
        <v>1459</v>
      </c>
      <c r="C527" s="5" t="s">
        <v>26</v>
      </c>
      <c r="D527" s="5" t="s">
        <v>27</v>
      </c>
      <c r="E527" s="5" t="s">
        <v>214</v>
      </c>
      <c r="F527" s="9">
        <v>17</v>
      </c>
      <c r="G527" s="9">
        <v>176</v>
      </c>
      <c r="H527" s="5" t="s">
        <v>21</v>
      </c>
      <c r="I527" s="5" t="s">
        <v>1460</v>
      </c>
      <c r="J527" s="12" t="str">
        <f>HYPERLINK("https://www.boe.es/gazeta/dias/1803/03/01/pdfs/GMD-1803-17.pdf#page=8","Abrir facsímil")</f>
        <v>Abrir facsímil</v>
      </c>
      <c r="K527" s="15" t="s">
        <v>23</v>
      </c>
    </row>
    <row r="528" spans="1:11" ht="42" customHeight="1">
      <c r="A528" s="4" t="s">
        <v>1461</v>
      </c>
      <c r="B528" s="5" t="s">
        <v>1461</v>
      </c>
      <c r="C528" s="5" t="s">
        <v>26</v>
      </c>
      <c r="D528" s="5" t="s">
        <v>27</v>
      </c>
      <c r="E528" s="5" t="s">
        <v>113</v>
      </c>
      <c r="F528" s="9">
        <v>93</v>
      </c>
      <c r="G528" s="9">
        <v>995</v>
      </c>
      <c r="H528" s="5" t="s">
        <v>21</v>
      </c>
      <c r="I528" s="5" t="s">
        <v>1462</v>
      </c>
      <c r="J528" s="12" t="str">
        <f>HYPERLINK("https://www.boe.es/gazeta/dias/1803/11/18/pdfs/GMD-1803-93.pdf#page=7","Abrir facsímil")</f>
        <v>Abrir facsímil</v>
      </c>
      <c r="K528" s="15" t="s">
        <v>23</v>
      </c>
    </row>
    <row r="529" spans="1:11" ht="42" customHeight="1">
      <c r="A529" s="4" t="s">
        <v>1463</v>
      </c>
      <c r="B529" s="5" t="s">
        <v>1464</v>
      </c>
      <c r="C529" s="5" t="s">
        <v>40</v>
      </c>
      <c r="D529" s="5" t="s">
        <v>41</v>
      </c>
      <c r="E529" s="5" t="s">
        <v>309</v>
      </c>
      <c r="F529" s="9">
        <v>37</v>
      </c>
      <c r="G529" s="9">
        <v>378</v>
      </c>
      <c r="H529" s="5" t="s">
        <v>21</v>
      </c>
      <c r="I529" s="5" t="s">
        <v>1465</v>
      </c>
      <c r="J529" s="12" t="str">
        <f>HYPERLINK("https://www.boe.es/gazeta/dias/1803/05/10/pdfs/GMD-1803-37.pdf#page=2","Abrir facsímil")</f>
        <v>Abrir facsímil</v>
      </c>
      <c r="K529" s="15" t="s">
        <v>23</v>
      </c>
    </row>
    <row r="530" spans="1:11" ht="42" customHeight="1">
      <c r="A530" s="4" t="s">
        <v>1463</v>
      </c>
      <c r="B530" s="5" t="s">
        <v>1464</v>
      </c>
      <c r="C530" s="5" t="s">
        <v>40</v>
      </c>
      <c r="D530" s="5" t="s">
        <v>41</v>
      </c>
      <c r="E530" s="5" t="s">
        <v>309</v>
      </c>
      <c r="F530" s="9">
        <v>37</v>
      </c>
      <c r="G530" s="9">
        <v>379</v>
      </c>
      <c r="H530" s="5" t="s">
        <v>21</v>
      </c>
      <c r="I530" s="5" t="s">
        <v>1466</v>
      </c>
      <c r="J530" s="12" t="str">
        <f>HYPERLINK("https://www.boe.es/gazeta/dias/1803/05/10/pdfs/GMD-1803-37.pdf#page=3","Abrir facsímil")</f>
        <v>Abrir facsímil</v>
      </c>
      <c r="K530" s="15" t="s">
        <v>23</v>
      </c>
    </row>
    <row r="531" spans="1:11" ht="42" customHeight="1">
      <c r="A531" s="4" t="s">
        <v>1463</v>
      </c>
      <c r="B531" s="5" t="s">
        <v>1464</v>
      </c>
      <c r="C531" s="5" t="s">
        <v>40</v>
      </c>
      <c r="D531" s="5" t="s">
        <v>41</v>
      </c>
      <c r="E531" s="5" t="s">
        <v>309</v>
      </c>
      <c r="F531" s="9">
        <v>37</v>
      </c>
      <c r="G531" s="9">
        <v>380</v>
      </c>
      <c r="H531" s="5" t="s">
        <v>21</v>
      </c>
      <c r="I531" s="5" t="s">
        <v>1467</v>
      </c>
      <c r="J531" s="12" t="str">
        <f>HYPERLINK("https://www.boe.es/gazeta/dias/1803/05/10/pdfs/GMD-1803-37.pdf#page=4","Abrir facsímil")</f>
        <v>Abrir facsímil</v>
      </c>
      <c r="K531" s="15" t="s">
        <v>23</v>
      </c>
    </row>
    <row r="532" spans="1:11" ht="42" customHeight="1">
      <c r="A532" s="4" t="s">
        <v>1468</v>
      </c>
      <c r="B532" s="5" t="s">
        <v>1469</v>
      </c>
      <c r="C532" s="5" t="s">
        <v>40</v>
      </c>
      <c r="D532" s="5" t="s">
        <v>41</v>
      </c>
      <c r="E532" s="5" t="s">
        <v>309</v>
      </c>
      <c r="F532" s="9">
        <v>37</v>
      </c>
      <c r="G532" s="9">
        <v>377</v>
      </c>
      <c r="H532" s="5" t="s">
        <v>21</v>
      </c>
      <c r="I532" s="5" t="s">
        <v>1470</v>
      </c>
      <c r="J532" s="12" t="str">
        <f>HYPERLINK("https://www.boe.es/gazeta/dias/1803/05/10/pdfs/GMD-1803-37.pdf#page=1","Abrir facsímil")</f>
        <v>Abrir facsímil</v>
      </c>
      <c r="K532" s="15" t="s">
        <v>23</v>
      </c>
    </row>
    <row r="533" spans="1:11" ht="42" customHeight="1">
      <c r="A533" s="4" t="s">
        <v>1471</v>
      </c>
      <c r="B533" s="5" t="s">
        <v>1472</v>
      </c>
      <c r="C533" s="5" t="s">
        <v>18</v>
      </c>
      <c r="D533" s="5" t="s">
        <v>19</v>
      </c>
      <c r="E533" s="5" t="s">
        <v>509</v>
      </c>
      <c r="F533" s="9">
        <v>6</v>
      </c>
      <c r="G533" s="9">
        <v>56</v>
      </c>
      <c r="H533" s="5" t="s">
        <v>21</v>
      </c>
      <c r="I533" s="5" t="s">
        <v>1473</v>
      </c>
      <c r="J533" s="12" t="str">
        <f>HYPERLINK("https://www.boe.es/gazeta/dias/1803/01/21/pdfs/GMD-1803-6.pdf#page=8","Abrir facsímil")</f>
        <v>Abrir facsímil</v>
      </c>
      <c r="K533" s="15" t="s">
        <v>23</v>
      </c>
    </row>
    <row r="534" spans="1:11" ht="42" customHeight="1">
      <c r="A534" s="4" t="s">
        <v>1474</v>
      </c>
      <c r="B534" s="5" t="s">
        <v>1475</v>
      </c>
      <c r="C534" s="5" t="s">
        <v>51</v>
      </c>
      <c r="D534" s="5" t="s">
        <v>52</v>
      </c>
      <c r="E534" s="5" t="s">
        <v>174</v>
      </c>
      <c r="F534" s="9">
        <v>21</v>
      </c>
      <c r="G534" s="9">
        <v>226</v>
      </c>
      <c r="H534" s="5" t="s">
        <v>21</v>
      </c>
      <c r="I534" s="5" t="s">
        <v>1476</v>
      </c>
      <c r="J534" s="12" t="str">
        <f>HYPERLINK("https://www.boe.es/gazeta/dias/1803/03/15/pdfs/GMD-1803-21.pdf#page=10","Abrir facsímil")</f>
        <v>Abrir facsímil</v>
      </c>
      <c r="K534" s="15" t="s">
        <v>23</v>
      </c>
    </row>
    <row r="535" spans="1:11" ht="42" customHeight="1">
      <c r="A535" s="4" t="s">
        <v>1474</v>
      </c>
      <c r="B535" s="5" t="s">
        <v>1475</v>
      </c>
      <c r="C535" s="5" t="s">
        <v>225</v>
      </c>
      <c r="D535" s="5" t="s">
        <v>226</v>
      </c>
      <c r="E535" s="5" t="s">
        <v>609</v>
      </c>
      <c r="F535" s="9">
        <v>57</v>
      </c>
      <c r="G535" s="9">
        <v>622</v>
      </c>
      <c r="H535" s="5" t="s">
        <v>21</v>
      </c>
      <c r="I535" s="5" t="s">
        <v>1477</v>
      </c>
      <c r="J535" s="12" t="str">
        <f>HYPERLINK("https://www.boe.es/gazeta/dias/1803/07/19/pdfs/GMD-C-1803-57.pdf#page=2","Abrir facsímil")</f>
        <v>Abrir facsímil</v>
      </c>
      <c r="K535" s="15" t="s">
        <v>23</v>
      </c>
    </row>
    <row r="536" spans="1:11" ht="42" customHeight="1">
      <c r="A536" s="4" t="s">
        <v>1478</v>
      </c>
      <c r="B536" s="5" t="s">
        <v>1479</v>
      </c>
      <c r="C536" s="5" t="s">
        <v>40</v>
      </c>
      <c r="D536" s="5" t="s">
        <v>41</v>
      </c>
      <c r="E536" s="5" t="s">
        <v>609</v>
      </c>
      <c r="F536" s="9">
        <v>57</v>
      </c>
      <c r="G536" s="9">
        <v>613</v>
      </c>
      <c r="H536" s="5" t="s">
        <v>21</v>
      </c>
      <c r="I536" s="5" t="s">
        <v>1480</v>
      </c>
      <c r="J536" s="12" t="str">
        <f>HYPERLINK("https://www.boe.es/gazeta/dias/1803/07/19/pdfs/GMD-1803-57.pdf#page=1","Abrir facsímil")</f>
        <v>Abrir facsímil</v>
      </c>
      <c r="K536" s="15" t="s">
        <v>23</v>
      </c>
    </row>
    <row r="537" spans="1:11" ht="42" customHeight="1">
      <c r="A537" s="4" t="s">
        <v>1481</v>
      </c>
      <c r="B537" s="5" t="s">
        <v>1482</v>
      </c>
      <c r="C537" s="5" t="s">
        <v>40</v>
      </c>
      <c r="D537" s="5" t="s">
        <v>41</v>
      </c>
      <c r="E537" s="5" t="s">
        <v>309</v>
      </c>
      <c r="F537" s="9">
        <v>37</v>
      </c>
      <c r="G537" s="9">
        <v>377</v>
      </c>
      <c r="H537" s="5" t="s">
        <v>21</v>
      </c>
      <c r="I537" s="5" t="s">
        <v>1483</v>
      </c>
      <c r="J537" s="12" t="str">
        <f>HYPERLINK("https://www.boe.es/gazeta/dias/1803/05/10/pdfs/GMD-1803-37.pdf#page=1","Abrir facsímil")</f>
        <v>Abrir facsímil</v>
      </c>
      <c r="K537" s="15" t="s">
        <v>23</v>
      </c>
    </row>
    <row r="538" spans="1:11" ht="42" customHeight="1">
      <c r="A538" s="4" t="s">
        <v>1484</v>
      </c>
      <c r="B538" s="5" t="s">
        <v>1485</v>
      </c>
      <c r="C538" s="5" t="s">
        <v>40</v>
      </c>
      <c r="D538" s="5" t="s">
        <v>41</v>
      </c>
      <c r="E538" s="5" t="s">
        <v>164</v>
      </c>
      <c r="F538" s="9">
        <v>84</v>
      </c>
      <c r="G538" s="9">
        <v>902</v>
      </c>
      <c r="H538" s="5" t="s">
        <v>21</v>
      </c>
      <c r="I538" s="5" t="s">
        <v>1486</v>
      </c>
      <c r="J538" s="12" t="str">
        <f>HYPERLINK("https://www.boe.es/gazeta/dias/1803/10/18/pdfs/GMD-1803-84.pdf#page=6","Abrir facsímil")</f>
        <v>Abrir facsímil</v>
      </c>
      <c r="K538" s="15" t="s">
        <v>23</v>
      </c>
    </row>
    <row r="539" spans="1:11" ht="42" customHeight="1">
      <c r="A539" s="4" t="s">
        <v>1487</v>
      </c>
      <c r="B539" s="5" t="s">
        <v>1488</v>
      </c>
      <c r="C539" s="5" t="s">
        <v>26</v>
      </c>
      <c r="D539" s="5" t="s">
        <v>27</v>
      </c>
      <c r="E539" s="5" t="s">
        <v>203</v>
      </c>
      <c r="F539" s="9">
        <v>32</v>
      </c>
      <c r="G539" s="9">
        <v>335</v>
      </c>
      <c r="H539" s="5" t="s">
        <v>21</v>
      </c>
      <c r="I539" s="5" t="s">
        <v>1489</v>
      </c>
      <c r="J539" s="12" t="str">
        <f>HYPERLINK("https://www.boe.es/gazeta/dias/1803/04/22/pdfs/GMD-1803-32.pdf#page=7","Abrir facsímil")</f>
        <v>Abrir facsímil</v>
      </c>
      <c r="K539" s="15" t="s">
        <v>23</v>
      </c>
    </row>
    <row r="540" spans="1:11" ht="42" customHeight="1">
      <c r="A540" s="4" t="s">
        <v>1490</v>
      </c>
      <c r="B540" s="5" t="s">
        <v>1491</v>
      </c>
      <c r="C540" s="5" t="s">
        <v>26</v>
      </c>
      <c r="D540" s="5" t="s">
        <v>27</v>
      </c>
      <c r="E540" s="5" t="s">
        <v>571</v>
      </c>
      <c r="F540" s="9">
        <v>103</v>
      </c>
      <c r="G540" s="9">
        <v>1105</v>
      </c>
      <c r="H540" s="5" t="s">
        <v>21</v>
      </c>
      <c r="I540" s="5" t="s">
        <v>1492</v>
      </c>
      <c r="J540" s="12" t="str">
        <f>HYPERLINK("https://www.boe.es/gazeta/dias/1803/12/23/pdfs/GMD-1803-103.pdf#page=5","Abrir facsímil")</f>
        <v>Abrir facsímil</v>
      </c>
      <c r="K540" s="15" t="s">
        <v>23</v>
      </c>
    </row>
    <row r="541" spans="1:11" ht="42" customHeight="1">
      <c r="A541" s="4" t="s">
        <v>1493</v>
      </c>
      <c r="B541" s="5" t="s">
        <v>1494</v>
      </c>
      <c r="C541" s="5" t="s">
        <v>18</v>
      </c>
      <c r="D541" s="5" t="s">
        <v>19</v>
      </c>
      <c r="E541" s="5" t="s">
        <v>361</v>
      </c>
      <c r="F541" s="9">
        <v>62</v>
      </c>
      <c r="G541" s="9">
        <v>675</v>
      </c>
      <c r="H541" s="5" t="s">
        <v>21</v>
      </c>
      <c r="I541" s="5" t="s">
        <v>1495</v>
      </c>
      <c r="J541" s="12" t="str">
        <f>HYPERLINK("https://www.boe.es/gazeta/dias/1803/08/05/pdfs/GMD-1803-62.pdf#page=7","Abrir facsímil")</f>
        <v>Abrir facsímil</v>
      </c>
      <c r="K541" s="15" t="s">
        <v>23</v>
      </c>
    </row>
    <row r="542" spans="1:11" ht="42" customHeight="1">
      <c r="A542" s="4" t="s">
        <v>1496</v>
      </c>
      <c r="B542" s="5" t="s">
        <v>1497</v>
      </c>
      <c r="C542" s="5" t="s">
        <v>18</v>
      </c>
      <c r="D542" s="5" t="s">
        <v>19</v>
      </c>
      <c r="E542" s="5" t="s">
        <v>152</v>
      </c>
      <c r="F542" s="9">
        <v>16</v>
      </c>
      <c r="G542" s="9">
        <v>166</v>
      </c>
      <c r="H542" s="5" t="s">
        <v>21</v>
      </c>
      <c r="I542" s="5" t="s">
        <v>1498</v>
      </c>
      <c r="J542" s="12" t="str">
        <f>HYPERLINK("https://www.boe.es/gazeta/dias/1803/02/25/pdfs/GMD-1803-16.pdf#page=6","Abrir facsímil")</f>
        <v>Abrir facsímil</v>
      </c>
      <c r="K542" s="15" t="s">
        <v>23</v>
      </c>
    </row>
    <row r="543" spans="1:11" ht="42" customHeight="1">
      <c r="A543" s="4" t="s">
        <v>1499</v>
      </c>
      <c r="B543" s="5" t="s">
        <v>1499</v>
      </c>
      <c r="C543" s="5" t="s">
        <v>51</v>
      </c>
      <c r="D543" s="5" t="s">
        <v>52</v>
      </c>
      <c r="E543" s="5" t="s">
        <v>509</v>
      </c>
      <c r="F543" s="9">
        <v>6</v>
      </c>
      <c r="G543" s="9">
        <v>53</v>
      </c>
      <c r="H543" s="5" t="s">
        <v>21</v>
      </c>
      <c r="I543" s="5" t="s">
        <v>1500</v>
      </c>
      <c r="J543" s="12" t="str">
        <f>HYPERLINK("https://www.boe.es/gazeta/dias/1803/01/21/pdfs/GMD-1803-6.pdf#page=5","Abrir facsímil")</f>
        <v>Abrir facsímil</v>
      </c>
      <c r="K543" s="15" t="s">
        <v>23</v>
      </c>
    </row>
    <row r="544" spans="1:11" ht="42" customHeight="1">
      <c r="A544" s="4" t="s">
        <v>1501</v>
      </c>
      <c r="B544" s="5" t="s">
        <v>1502</v>
      </c>
      <c r="C544" s="5" t="s">
        <v>80</v>
      </c>
      <c r="D544" s="5" t="s">
        <v>81</v>
      </c>
      <c r="E544" s="5" t="s">
        <v>373</v>
      </c>
      <c r="F544" s="9">
        <v>77</v>
      </c>
      <c r="G544" s="9">
        <v>831</v>
      </c>
      <c r="H544" s="5" t="s">
        <v>21</v>
      </c>
      <c r="I544" s="5" t="s">
        <v>1503</v>
      </c>
      <c r="J544" s="12" t="str">
        <f>HYPERLINK("https://www.boe.es/gazeta/dias/1803/09/23/pdfs/GMD-1803-77.pdf#page=7","Abrir facsímil")</f>
        <v>Abrir facsímil</v>
      </c>
      <c r="K544" s="15" t="s">
        <v>23</v>
      </c>
    </row>
    <row r="545" spans="1:11" ht="42" customHeight="1">
      <c r="A545" s="4" t="s">
        <v>1504</v>
      </c>
      <c r="B545" s="5" t="s">
        <v>1504</v>
      </c>
      <c r="C545" s="5" t="s">
        <v>26</v>
      </c>
      <c r="D545" s="5" t="s">
        <v>27</v>
      </c>
      <c r="E545" s="5" t="s">
        <v>152</v>
      </c>
      <c r="F545" s="9">
        <v>16</v>
      </c>
      <c r="G545" s="9">
        <v>166</v>
      </c>
      <c r="H545" s="5" t="s">
        <v>21</v>
      </c>
      <c r="I545" s="5" t="s">
        <v>1505</v>
      </c>
      <c r="J545" s="12" t="str">
        <f>HYPERLINK("https://www.boe.es/gazeta/dias/1803/02/25/pdfs/GMD-1803-16.pdf#page=6","Abrir facsímil")</f>
        <v>Abrir facsímil</v>
      </c>
      <c r="K545" s="15" t="s">
        <v>23</v>
      </c>
    </row>
    <row r="546" spans="1:11" ht="42" customHeight="1">
      <c r="A546" s="4" t="s">
        <v>1506</v>
      </c>
      <c r="B546" s="5" t="s">
        <v>1506</v>
      </c>
      <c r="C546" s="5" t="s">
        <v>26</v>
      </c>
      <c r="D546" s="5" t="s">
        <v>27</v>
      </c>
      <c r="E546" s="5" t="s">
        <v>207</v>
      </c>
      <c r="F546" s="9">
        <v>27</v>
      </c>
      <c r="G546" s="9">
        <v>293</v>
      </c>
      <c r="H546" s="5" t="s">
        <v>21</v>
      </c>
      <c r="I546" s="5" t="s">
        <v>1507</v>
      </c>
      <c r="J546" s="12" t="str">
        <f>HYPERLINK("https://www.boe.es/gazeta/dias/1803/04/05/pdfs/GMD-1803-27.pdf#page=9","Abrir facsímil")</f>
        <v>Abrir facsímil</v>
      </c>
      <c r="K546" s="15" t="s">
        <v>23</v>
      </c>
    </row>
    <row r="547" spans="1:11" ht="42" customHeight="1">
      <c r="A547" s="4" t="s">
        <v>1508</v>
      </c>
      <c r="B547" s="5" t="s">
        <v>1509</v>
      </c>
      <c r="C547" s="5" t="s">
        <v>46</v>
      </c>
      <c r="D547" s="5" t="s">
        <v>19</v>
      </c>
      <c r="E547" s="5" t="s">
        <v>231</v>
      </c>
      <c r="F547" s="9">
        <v>26</v>
      </c>
      <c r="G547" s="9">
        <v>283</v>
      </c>
      <c r="H547" s="5" t="s">
        <v>21</v>
      </c>
      <c r="I547" s="5" t="s">
        <v>1510</v>
      </c>
      <c r="J547" s="12" t="str">
        <f>HYPERLINK("https://www.boe.es/gazeta/dias/1803/04/01/pdfs/GMD-1803-26.pdf#page=11","Abrir facsímil")</f>
        <v>Abrir facsímil</v>
      </c>
      <c r="K547" s="15" t="s">
        <v>23</v>
      </c>
    </row>
    <row r="548" spans="1:11" ht="42" customHeight="1">
      <c r="A548" s="4" t="s">
        <v>1511</v>
      </c>
      <c r="B548" s="5" t="s">
        <v>1512</v>
      </c>
      <c r="C548" s="5" t="s">
        <v>26</v>
      </c>
      <c r="D548" s="5" t="s">
        <v>27</v>
      </c>
      <c r="E548" s="5" t="s">
        <v>919</v>
      </c>
      <c r="F548" s="9">
        <v>69</v>
      </c>
      <c r="G548" s="9">
        <v>751</v>
      </c>
      <c r="H548" s="5" t="s">
        <v>21</v>
      </c>
      <c r="I548" s="5" t="s">
        <v>1513</v>
      </c>
      <c r="J548" s="12" t="str">
        <f>HYPERLINK("https://www.boe.es/gazeta/dias/1803/08/30/pdfs/GMD-1803-69.pdf#page=7","Abrir facsímil")</f>
        <v>Abrir facsímil</v>
      </c>
      <c r="K548" s="15" t="s">
        <v>23</v>
      </c>
    </row>
    <row r="549" spans="1:11" ht="42" customHeight="1">
      <c r="A549" s="4" t="s">
        <v>1514</v>
      </c>
      <c r="B549" s="5" t="s">
        <v>1515</v>
      </c>
      <c r="C549" s="5" t="s">
        <v>51</v>
      </c>
      <c r="D549" s="5" t="s">
        <v>52</v>
      </c>
      <c r="E549" s="5" t="s">
        <v>77</v>
      </c>
      <c r="F549" s="9">
        <v>64</v>
      </c>
      <c r="G549" s="9">
        <v>696</v>
      </c>
      <c r="H549" s="5" t="s">
        <v>21</v>
      </c>
      <c r="I549" s="5" t="s">
        <v>1516</v>
      </c>
      <c r="J549" s="12" t="str">
        <f>HYPERLINK("https://www.boe.es/gazeta/dias/1803/08/12/pdfs/GMD-1803-64.pdf#page=4","Abrir facsímil")</f>
        <v>Abrir facsímil</v>
      </c>
      <c r="K549" s="15" t="s">
        <v>23</v>
      </c>
    </row>
    <row r="550" spans="1:11" ht="42" customHeight="1">
      <c r="A550" s="4" t="s">
        <v>1517</v>
      </c>
      <c r="B550" s="5" t="s">
        <v>1518</v>
      </c>
      <c r="C550" s="5" t="s">
        <v>26</v>
      </c>
      <c r="D550" s="5" t="s">
        <v>27</v>
      </c>
      <c r="E550" s="5" t="s">
        <v>630</v>
      </c>
      <c r="F550" s="9">
        <v>85</v>
      </c>
      <c r="G550" s="9">
        <v>917</v>
      </c>
      <c r="H550" s="5" t="s">
        <v>21</v>
      </c>
      <c r="I550" s="5" t="s">
        <v>1519</v>
      </c>
      <c r="J550" s="12" t="str">
        <f>HYPERLINK("https://www.boe.es/gazeta/dias/1803/10/21/pdfs/GMD-1803-85.pdf#page=9","Abrir facsímil")</f>
        <v>Abrir facsímil</v>
      </c>
      <c r="K550" s="15" t="s">
        <v>23</v>
      </c>
    </row>
    <row r="551" spans="1:11" ht="42" customHeight="1">
      <c r="A551" s="4" t="s">
        <v>1520</v>
      </c>
      <c r="B551" s="5" t="s">
        <v>1521</v>
      </c>
      <c r="C551" s="5" t="s">
        <v>26</v>
      </c>
      <c r="D551" s="5" t="s">
        <v>27</v>
      </c>
      <c r="E551" s="5" t="s">
        <v>403</v>
      </c>
      <c r="F551" s="9">
        <v>91</v>
      </c>
      <c r="G551" s="9">
        <v>977</v>
      </c>
      <c r="H551" s="5" t="s">
        <v>21</v>
      </c>
      <c r="I551" s="5" t="s">
        <v>1522</v>
      </c>
      <c r="J551" s="12" t="str">
        <f>HYPERLINK("https://www.boe.es/gazeta/dias/1803/11/11/pdfs/GMD-1803-91.pdf#page=9","Abrir facsímil")</f>
        <v>Abrir facsímil</v>
      </c>
      <c r="K551" s="15" t="s">
        <v>23</v>
      </c>
    </row>
    <row r="552" spans="1:11" ht="42" customHeight="1">
      <c r="A552" s="4" t="s">
        <v>1523</v>
      </c>
      <c r="B552" s="5" t="s">
        <v>1524</v>
      </c>
      <c r="C552" s="5" t="s">
        <v>40</v>
      </c>
      <c r="D552" s="5" t="s">
        <v>41</v>
      </c>
      <c r="E552" s="5" t="s">
        <v>191</v>
      </c>
      <c r="F552" s="9">
        <v>34</v>
      </c>
      <c r="G552" s="9">
        <v>359</v>
      </c>
      <c r="H552" s="5" t="s">
        <v>21</v>
      </c>
      <c r="I552" s="5" t="s">
        <v>1525</v>
      </c>
      <c r="J552" s="12" t="str">
        <f>HYPERLINK("https://www.boe.es/gazeta/dias/1803/04/29/pdfs/GMD-1803-34.pdf#page=7","Abrir facsímil")</f>
        <v>Abrir facsímil</v>
      </c>
      <c r="K552" s="15" t="s">
        <v>23</v>
      </c>
    </row>
    <row r="553" spans="1:11" ht="42" customHeight="1">
      <c r="A553" s="4" t="s">
        <v>1526</v>
      </c>
      <c r="B553" s="5" t="s">
        <v>1527</v>
      </c>
      <c r="C553" s="5" t="s">
        <v>26</v>
      </c>
      <c r="D553" s="5" t="s">
        <v>27</v>
      </c>
      <c r="E553" s="5" t="s">
        <v>361</v>
      </c>
      <c r="F553" s="9">
        <v>62</v>
      </c>
      <c r="G553" s="9">
        <v>676</v>
      </c>
      <c r="H553" s="5" t="s">
        <v>21</v>
      </c>
      <c r="I553" s="5" t="s">
        <v>1528</v>
      </c>
      <c r="J553" s="12" t="str">
        <f>HYPERLINK("https://www.boe.es/gazeta/dias/1803/08/05/pdfs/GMD-1803-62.pdf#page=8","Abrir facsímil")</f>
        <v>Abrir facsímil</v>
      </c>
      <c r="K553" s="15" t="s">
        <v>23</v>
      </c>
    </row>
    <row r="554" spans="1:11" ht="42" customHeight="1">
      <c r="A554" s="4" t="s">
        <v>1529</v>
      </c>
      <c r="B554" s="5" t="s">
        <v>1530</v>
      </c>
      <c r="C554" s="5" t="s">
        <v>46</v>
      </c>
      <c r="D554" s="5" t="s">
        <v>19</v>
      </c>
      <c r="E554" s="5" t="s">
        <v>391</v>
      </c>
      <c r="F554" s="9">
        <v>61</v>
      </c>
      <c r="G554" s="9">
        <v>668</v>
      </c>
      <c r="H554" s="5" t="s">
        <v>21</v>
      </c>
      <c r="I554" s="5" t="s">
        <v>1531</v>
      </c>
      <c r="J554" s="12" t="str">
        <f>HYPERLINK("https://www.boe.es/gazeta/dias/1803/08/02/pdfs/GMD-1803-61.pdf#page=8","Abrir facsímil")</f>
        <v>Abrir facsímil</v>
      </c>
      <c r="K554" s="15" t="s">
        <v>23</v>
      </c>
    </row>
    <row r="555" spans="1:11" ht="42" customHeight="1">
      <c r="A555" s="4" t="s">
        <v>1532</v>
      </c>
      <c r="B555" s="5" t="s">
        <v>1532</v>
      </c>
      <c r="C555" s="5" t="s">
        <v>26</v>
      </c>
      <c r="D555" s="5" t="s">
        <v>27</v>
      </c>
      <c r="E555" s="5" t="s">
        <v>317</v>
      </c>
      <c r="F555" s="9">
        <v>12</v>
      </c>
      <c r="G555" s="9">
        <v>118</v>
      </c>
      <c r="H555" s="5" t="s">
        <v>21</v>
      </c>
      <c r="I555" s="5" t="s">
        <v>1533</v>
      </c>
      <c r="J555" s="12" t="str">
        <f>HYPERLINK("https://www.boe.es/gazeta/dias/1803/02/11/pdfs/GMD-1803-12.pdf#page=6","Abrir facsímil")</f>
        <v>Abrir facsímil</v>
      </c>
      <c r="K555" s="15" t="s">
        <v>23</v>
      </c>
    </row>
    <row r="556" spans="1:11" ht="42" customHeight="1">
      <c r="A556" s="4" t="s">
        <v>1532</v>
      </c>
      <c r="B556" s="5" t="s">
        <v>1532</v>
      </c>
      <c r="C556" s="5" t="s">
        <v>51</v>
      </c>
      <c r="D556" s="5" t="s">
        <v>52</v>
      </c>
      <c r="E556" s="5" t="s">
        <v>317</v>
      </c>
      <c r="F556" s="9">
        <v>12</v>
      </c>
      <c r="G556" s="9">
        <v>120</v>
      </c>
      <c r="H556" s="5" t="s">
        <v>21</v>
      </c>
      <c r="I556" s="5" t="s">
        <v>1534</v>
      </c>
      <c r="J556" s="12" t="str">
        <f>HYPERLINK("https://www.boe.es/gazeta/dias/1803/02/11/pdfs/GMD-1803-12.pdf#page=8","Abrir facsímil")</f>
        <v>Abrir facsímil</v>
      </c>
      <c r="K556" s="15" t="s">
        <v>23</v>
      </c>
    </row>
    <row r="557" spans="1:11" ht="42" customHeight="1">
      <c r="A557" s="4" t="s">
        <v>1535</v>
      </c>
      <c r="B557" s="5" t="s">
        <v>1536</v>
      </c>
      <c r="C557" s="5" t="s">
        <v>51</v>
      </c>
      <c r="D557" s="5" t="s">
        <v>52</v>
      </c>
      <c r="E557" s="5" t="s">
        <v>509</v>
      </c>
      <c r="F557" s="9">
        <v>6</v>
      </c>
      <c r="G557" s="9">
        <v>52</v>
      </c>
      <c r="H557" s="5" t="s">
        <v>21</v>
      </c>
      <c r="I557" s="5" t="s">
        <v>1537</v>
      </c>
      <c r="J557" s="12" t="str">
        <f>HYPERLINK("https://www.boe.es/gazeta/dias/1803/01/21/pdfs/GMD-1803-6.pdf#page=4","Abrir facsímil")</f>
        <v>Abrir facsímil</v>
      </c>
      <c r="K557" s="15" t="s">
        <v>23</v>
      </c>
    </row>
    <row r="558" spans="1:11" ht="42" customHeight="1">
      <c r="A558" s="4" t="s">
        <v>1535</v>
      </c>
      <c r="B558" s="5" t="s">
        <v>1536</v>
      </c>
      <c r="C558" s="5" t="s">
        <v>26</v>
      </c>
      <c r="D558" s="5" t="s">
        <v>27</v>
      </c>
      <c r="E558" s="5" t="s">
        <v>340</v>
      </c>
      <c r="F558" s="9">
        <v>55</v>
      </c>
      <c r="G558" s="9">
        <v>596</v>
      </c>
      <c r="H558" s="5" t="s">
        <v>21</v>
      </c>
      <c r="I558" s="5" t="s">
        <v>1538</v>
      </c>
      <c r="J558" s="12" t="str">
        <f>HYPERLINK("https://www.boe.es/gazeta/dias/1803/07/12/pdfs/GMD-1803-55.pdf#page=4","Abrir facsímil")</f>
        <v>Abrir facsímil</v>
      </c>
      <c r="K558" s="15" t="s">
        <v>23</v>
      </c>
    </row>
    <row r="559" spans="1:11" ht="42" customHeight="1">
      <c r="A559" s="4" t="s">
        <v>1539</v>
      </c>
      <c r="B559" s="5" t="s">
        <v>1540</v>
      </c>
      <c r="C559" s="5" t="s">
        <v>26</v>
      </c>
      <c r="D559" s="5" t="s">
        <v>27</v>
      </c>
      <c r="E559" s="5" t="s">
        <v>493</v>
      </c>
      <c r="F559" s="9">
        <v>104</v>
      </c>
      <c r="G559" s="9">
        <v>1115</v>
      </c>
      <c r="H559" s="5" t="s">
        <v>21</v>
      </c>
      <c r="I559" s="5" t="s">
        <v>1541</v>
      </c>
      <c r="J559" s="12" t="str">
        <f>HYPERLINK("https://www.boe.es/gazeta/dias/1803/12/27/pdfs/GMD-1803-104.pdf#page=7","Abrir facsímil")</f>
        <v>Abrir facsímil</v>
      </c>
      <c r="K559" s="15" t="s">
        <v>23</v>
      </c>
    </row>
    <row r="560" spans="1:11" ht="42" customHeight="1">
      <c r="A560" s="4" t="s">
        <v>1542</v>
      </c>
      <c r="B560" s="5" t="s">
        <v>1543</v>
      </c>
      <c r="C560" s="5" t="s">
        <v>51</v>
      </c>
      <c r="D560" s="5" t="s">
        <v>52</v>
      </c>
      <c r="E560" s="5" t="s">
        <v>571</v>
      </c>
      <c r="F560" s="9">
        <v>103</v>
      </c>
      <c r="G560" s="9">
        <v>1107</v>
      </c>
      <c r="H560" s="5" t="s">
        <v>21</v>
      </c>
      <c r="I560" s="5" t="s">
        <v>1544</v>
      </c>
      <c r="J560" s="12" t="str">
        <f>HYPERLINK("https://www.boe.es/gazeta/dias/1803/12/23/pdfs/GMD-1803-103.pdf#page=7","Abrir facsímil")</f>
        <v>Abrir facsímil</v>
      </c>
      <c r="K560" s="15" t="s">
        <v>23</v>
      </c>
    </row>
    <row r="561" spans="1:11" ht="42" customHeight="1">
      <c r="A561" s="4" t="s">
        <v>1545</v>
      </c>
      <c r="B561" s="5" t="s">
        <v>1546</v>
      </c>
      <c r="C561" s="5" t="s">
        <v>80</v>
      </c>
      <c r="D561" s="5" t="s">
        <v>81</v>
      </c>
      <c r="E561" s="5" t="s">
        <v>64</v>
      </c>
      <c r="F561" s="9">
        <v>65</v>
      </c>
      <c r="G561" s="9">
        <v>702</v>
      </c>
      <c r="H561" s="5" t="s">
        <v>21</v>
      </c>
      <c r="I561" s="5" t="s">
        <v>1547</v>
      </c>
      <c r="J561" s="12" t="str">
        <f>HYPERLINK("https://www.boe.es/gazeta/dias/1803/08/16/pdfs/GMD-1803-65.pdf#page=2","Abrir facsímil")</f>
        <v>Abrir facsímil</v>
      </c>
      <c r="K561" s="15" t="s">
        <v>23</v>
      </c>
    </row>
    <row r="562" spans="1:11" ht="42" customHeight="1">
      <c r="A562" s="4" t="s">
        <v>1548</v>
      </c>
      <c r="B562" s="5" t="s">
        <v>1548</v>
      </c>
      <c r="C562" s="5" t="s">
        <v>80</v>
      </c>
      <c r="D562" s="5" t="s">
        <v>81</v>
      </c>
      <c r="E562" s="5" t="s">
        <v>156</v>
      </c>
      <c r="F562" s="9">
        <v>2</v>
      </c>
      <c r="G562" s="9">
        <v>20</v>
      </c>
      <c r="H562" s="5" t="s">
        <v>21</v>
      </c>
      <c r="I562" s="5" t="s">
        <v>1549</v>
      </c>
      <c r="J562" s="12" t="str">
        <f>HYPERLINK("https://www.boe.es/gazeta/dias/1803/01/07/pdfs/GMD-1803-2.pdf#page=12","Abrir facsímil")</f>
        <v>Abrir facsímil</v>
      </c>
      <c r="K562" s="15" t="s">
        <v>23</v>
      </c>
    </row>
    <row r="563" spans="1:11" ht="42" customHeight="1">
      <c r="A563" s="4" t="s">
        <v>1548</v>
      </c>
      <c r="B563" s="5" t="s">
        <v>1548</v>
      </c>
      <c r="C563" s="5" t="s">
        <v>80</v>
      </c>
      <c r="D563" s="5" t="s">
        <v>81</v>
      </c>
      <c r="E563" s="5" t="s">
        <v>138</v>
      </c>
      <c r="F563" s="9">
        <v>68</v>
      </c>
      <c r="G563" s="9">
        <v>744</v>
      </c>
      <c r="H563" s="5" t="s">
        <v>21</v>
      </c>
      <c r="I563" s="5" t="s">
        <v>1550</v>
      </c>
      <c r="J563" s="12" t="str">
        <f>HYPERLINK("https://www.boe.es/gazeta/dias/1803/08/26/pdfs/GMD-1803-68.pdf#page=12","Abrir facsímil")</f>
        <v>Abrir facsímil</v>
      </c>
      <c r="K563" s="15" t="s">
        <v>23</v>
      </c>
    </row>
    <row r="564" spans="1:11" ht="42" customHeight="1">
      <c r="A564" s="4" t="s">
        <v>1548</v>
      </c>
      <c r="B564" s="5" t="s">
        <v>1548</v>
      </c>
      <c r="C564" s="5" t="s">
        <v>80</v>
      </c>
      <c r="D564" s="5" t="s">
        <v>81</v>
      </c>
      <c r="E564" s="5" t="s">
        <v>555</v>
      </c>
      <c r="F564" s="9">
        <v>83</v>
      </c>
      <c r="G564" s="9">
        <v>896</v>
      </c>
      <c r="H564" s="5" t="s">
        <v>21</v>
      </c>
      <c r="I564" s="5" t="s">
        <v>1551</v>
      </c>
      <c r="J564" s="12" t="str">
        <f>HYPERLINK("https://www.boe.es/gazeta/dias/1803/10/14/pdfs/GMD-1803-83.pdf#page=8","Abrir facsímil")</f>
        <v>Abrir facsímil</v>
      </c>
      <c r="K564" s="15" t="s">
        <v>23</v>
      </c>
    </row>
    <row r="565" spans="1:11" ht="42" customHeight="1">
      <c r="A565" s="4" t="s">
        <v>1548</v>
      </c>
      <c r="B565" s="5" t="s">
        <v>1548</v>
      </c>
      <c r="C565" s="5" t="s">
        <v>18</v>
      </c>
      <c r="D565" s="5" t="s">
        <v>19</v>
      </c>
      <c r="E565" s="5" t="s">
        <v>403</v>
      </c>
      <c r="F565" s="9">
        <v>91</v>
      </c>
      <c r="G565" s="9">
        <v>976</v>
      </c>
      <c r="H565" s="5" t="s">
        <v>21</v>
      </c>
      <c r="I565" s="5" t="s">
        <v>1552</v>
      </c>
      <c r="J565" s="12" t="str">
        <f>HYPERLINK("https://www.boe.es/gazeta/dias/1803/11/11/pdfs/GMD-1803-91.pdf#page=8","Abrir facsímil")</f>
        <v>Abrir facsímil</v>
      </c>
      <c r="K565" s="15" t="s">
        <v>23</v>
      </c>
    </row>
    <row r="566" spans="1:11" ht="42" customHeight="1">
      <c r="A566" s="4" t="s">
        <v>1553</v>
      </c>
      <c r="B566" s="5" t="s">
        <v>1553</v>
      </c>
      <c r="C566" s="5" t="s">
        <v>26</v>
      </c>
      <c r="D566" s="5" t="s">
        <v>27</v>
      </c>
      <c r="E566" s="5" t="s">
        <v>407</v>
      </c>
      <c r="F566" s="9">
        <v>82</v>
      </c>
      <c r="G566" s="9">
        <v>885</v>
      </c>
      <c r="H566" s="5" t="s">
        <v>21</v>
      </c>
      <c r="I566" s="5" t="s">
        <v>1554</v>
      </c>
      <c r="J566" s="12" t="str">
        <f>HYPERLINK("https://www.boe.es/gazeta/dias/1803/10/11/pdfs/GMD-1803-82.pdf#page=9","Abrir facsímil")</f>
        <v>Abrir facsímil</v>
      </c>
      <c r="K566" s="15" t="s">
        <v>23</v>
      </c>
    </row>
    <row r="567" spans="1:11" ht="42" customHeight="1">
      <c r="A567" s="4" t="s">
        <v>1555</v>
      </c>
      <c r="B567" s="5" t="s">
        <v>1556</v>
      </c>
      <c r="C567" s="5" t="s">
        <v>51</v>
      </c>
      <c r="D567" s="5" t="s">
        <v>52</v>
      </c>
      <c r="E567" s="5" t="s">
        <v>83</v>
      </c>
      <c r="F567" s="9">
        <v>28</v>
      </c>
      <c r="G567" s="9">
        <v>303</v>
      </c>
      <c r="H567" s="5" t="s">
        <v>21</v>
      </c>
      <c r="I567" s="5" t="s">
        <v>1557</v>
      </c>
      <c r="J567" s="12" t="str">
        <f>HYPERLINK("https://www.boe.es/gazeta/dias/1803/04/08/pdfs/GMD-1803-28.pdf#page=7","Abrir facsímil")</f>
        <v>Abrir facsímil</v>
      </c>
      <c r="K567" s="15" t="s">
        <v>23</v>
      </c>
    </row>
    <row r="568" spans="1:11" ht="42" customHeight="1">
      <c r="A568" s="4" t="s">
        <v>1558</v>
      </c>
      <c r="B568" s="5" t="s">
        <v>1559</v>
      </c>
      <c r="C568" s="5" t="s">
        <v>26</v>
      </c>
      <c r="D568" s="5" t="s">
        <v>27</v>
      </c>
      <c r="E568" s="5" t="s">
        <v>250</v>
      </c>
      <c r="F568" s="9">
        <v>4</v>
      </c>
      <c r="G568" s="9">
        <v>35</v>
      </c>
      <c r="H568" s="5" t="s">
        <v>21</v>
      </c>
      <c r="I568" s="5" t="s">
        <v>1560</v>
      </c>
      <c r="J568" s="12" t="str">
        <f>HYPERLINK("https://www.boe.es/gazeta/dias/1803/01/14/pdfs/GMD-1803-4.pdf#page=7","Abrir facsímil")</f>
        <v>Abrir facsímil</v>
      </c>
      <c r="K568" s="15" t="s">
        <v>23</v>
      </c>
    </row>
    <row r="569" spans="1:11" ht="42" customHeight="1">
      <c r="A569" s="4" t="s">
        <v>1561</v>
      </c>
      <c r="B569" s="5" t="s">
        <v>1562</v>
      </c>
      <c r="C569" s="5" t="s">
        <v>18</v>
      </c>
      <c r="D569" s="5" t="s">
        <v>19</v>
      </c>
      <c r="E569" s="5" t="s">
        <v>207</v>
      </c>
      <c r="F569" s="9">
        <v>27</v>
      </c>
      <c r="G569" s="9">
        <v>292</v>
      </c>
      <c r="H569" s="5" t="s">
        <v>21</v>
      </c>
      <c r="I569" s="5" t="s">
        <v>1563</v>
      </c>
      <c r="J569" s="12" t="str">
        <f>HYPERLINK("https://www.boe.es/gazeta/dias/1803/04/05/pdfs/GMD-1803-27.pdf#page=8","Abrir facsímil")</f>
        <v>Abrir facsímil</v>
      </c>
      <c r="K569" s="15" t="s">
        <v>23</v>
      </c>
    </row>
    <row r="570" spans="1:11" ht="42" customHeight="1">
      <c r="A570" s="4" t="s">
        <v>1564</v>
      </c>
      <c r="B570" s="5" t="s">
        <v>1565</v>
      </c>
      <c r="C570" s="5" t="s">
        <v>40</v>
      </c>
      <c r="D570" s="5" t="s">
        <v>41</v>
      </c>
      <c r="E570" s="5" t="s">
        <v>391</v>
      </c>
      <c r="F570" s="9">
        <v>61</v>
      </c>
      <c r="G570" s="9">
        <v>664</v>
      </c>
      <c r="H570" s="5" t="s">
        <v>21</v>
      </c>
      <c r="I570" s="5" t="s">
        <v>1566</v>
      </c>
      <c r="J570" s="12" t="str">
        <f>HYPERLINK("https://www.boe.es/gazeta/dias/1803/08/02/pdfs/GMD-1803-61.pdf#page=4","Abrir facsímil")</f>
        <v>Abrir facsímil</v>
      </c>
      <c r="K570" s="15" t="s">
        <v>23</v>
      </c>
    </row>
    <row r="571" spans="1:11" ht="42" customHeight="1">
      <c r="A571" s="4" t="s">
        <v>1564</v>
      </c>
      <c r="B571" s="5" t="s">
        <v>1565</v>
      </c>
      <c r="C571" s="5" t="s">
        <v>40</v>
      </c>
      <c r="D571" s="5" t="s">
        <v>41</v>
      </c>
      <c r="E571" s="5" t="s">
        <v>61</v>
      </c>
      <c r="F571" s="9">
        <v>67</v>
      </c>
      <c r="G571" s="9">
        <v>728</v>
      </c>
      <c r="H571" s="5" t="s">
        <v>21</v>
      </c>
      <c r="I571" s="5" t="s">
        <v>1567</v>
      </c>
      <c r="J571" s="12" t="str">
        <f>HYPERLINK("https://www.boe.es/gazeta/dias/1803/08/23/pdfs/GMD-1803-67.pdf#page=8","Abrir facsímil")</f>
        <v>Abrir facsímil</v>
      </c>
      <c r="K571" s="15" t="s">
        <v>23</v>
      </c>
    </row>
    <row r="572" spans="1:11" ht="42" customHeight="1">
      <c r="A572" s="4" t="s">
        <v>1568</v>
      </c>
      <c r="B572" s="5" t="s">
        <v>1569</v>
      </c>
      <c r="C572" s="5" t="s">
        <v>26</v>
      </c>
      <c r="D572" s="5" t="s">
        <v>27</v>
      </c>
      <c r="E572" s="5" t="s">
        <v>71</v>
      </c>
      <c r="F572" s="9">
        <v>39</v>
      </c>
      <c r="G572" s="9">
        <v>413</v>
      </c>
      <c r="H572" s="5" t="s">
        <v>21</v>
      </c>
      <c r="I572" s="5" t="s">
        <v>1570</v>
      </c>
      <c r="J572" s="12" t="str">
        <f>HYPERLINK("https://www.boe.es/gazeta/dias/1803/05/17/pdfs/GMD-1803-39.pdf#page=9","Abrir facsímil")</f>
        <v>Abrir facsímil</v>
      </c>
      <c r="K572" s="15" t="s">
        <v>23</v>
      </c>
    </row>
    <row r="573" spans="1:11" ht="42" customHeight="1">
      <c r="A573" s="4" t="s">
        <v>1571</v>
      </c>
      <c r="B573" s="5" t="s">
        <v>1572</v>
      </c>
      <c r="C573" s="5" t="s">
        <v>26</v>
      </c>
      <c r="D573" s="5" t="s">
        <v>27</v>
      </c>
      <c r="E573" s="5" t="s">
        <v>340</v>
      </c>
      <c r="F573" s="9">
        <v>55</v>
      </c>
      <c r="G573" s="9">
        <v>602</v>
      </c>
      <c r="H573" s="5" t="s">
        <v>21</v>
      </c>
      <c r="I573" s="5" t="s">
        <v>1573</v>
      </c>
      <c r="J573" s="12" t="str">
        <f>HYPERLINK("https://www.boe.es/gazeta/dias/1803/07/12/pdfs/GMD-1803-55.pdf#page=10","Abrir facsímil")</f>
        <v>Abrir facsímil</v>
      </c>
      <c r="K573" s="15" t="s">
        <v>23</v>
      </c>
    </row>
    <row r="574" spans="1:11" ht="42" customHeight="1">
      <c r="A574" s="4" t="s">
        <v>1574</v>
      </c>
      <c r="B574" s="5" t="s">
        <v>1575</v>
      </c>
      <c r="C574" s="5" t="s">
        <v>26</v>
      </c>
      <c r="D574" s="5" t="s">
        <v>27</v>
      </c>
      <c r="E574" s="5" t="s">
        <v>588</v>
      </c>
      <c r="F574" s="9">
        <v>63</v>
      </c>
      <c r="G574" s="9">
        <v>687</v>
      </c>
      <c r="H574" s="5" t="s">
        <v>21</v>
      </c>
      <c r="I574" s="5" t="s">
        <v>1576</v>
      </c>
      <c r="J574" s="12" t="str">
        <f>HYPERLINK("https://www.boe.es/gazeta/dias/1803/08/09/pdfs/GMD-1803-63.pdf#page=7","Abrir facsímil")</f>
        <v>Abrir facsímil</v>
      </c>
      <c r="K574" s="15" t="s">
        <v>23</v>
      </c>
    </row>
    <row r="575" spans="1:11" ht="42" customHeight="1">
      <c r="A575" s="4" t="s">
        <v>1577</v>
      </c>
      <c r="B575" s="5" t="s">
        <v>1578</v>
      </c>
      <c r="C575" s="5" t="s">
        <v>26</v>
      </c>
      <c r="D575" s="5" t="s">
        <v>27</v>
      </c>
      <c r="E575" s="5" t="s">
        <v>148</v>
      </c>
      <c r="F575" s="9">
        <v>15</v>
      </c>
      <c r="G575" s="9">
        <v>157</v>
      </c>
      <c r="H575" s="5" t="s">
        <v>21</v>
      </c>
      <c r="I575" s="5" t="s">
        <v>1579</v>
      </c>
      <c r="J575" s="12" t="str">
        <f>HYPERLINK("https://www.boe.es/gazeta/dias/1803/02/22/pdfs/GMD-1803-15.pdf#page=9","Abrir facsímil")</f>
        <v>Abrir facsímil</v>
      </c>
      <c r="K575" s="15" t="s">
        <v>23</v>
      </c>
    </row>
    <row r="576" spans="1:11" ht="42" customHeight="1">
      <c r="A576" s="4" t="s">
        <v>1580</v>
      </c>
      <c r="B576" s="5" t="s">
        <v>1581</v>
      </c>
      <c r="C576" s="5" t="s">
        <v>51</v>
      </c>
      <c r="D576" s="5" t="s">
        <v>52</v>
      </c>
      <c r="E576" s="5" t="s">
        <v>571</v>
      </c>
      <c r="F576" s="9">
        <v>103</v>
      </c>
      <c r="G576" s="9">
        <v>1105</v>
      </c>
      <c r="H576" s="5" t="s">
        <v>21</v>
      </c>
      <c r="I576" s="5" t="s">
        <v>1582</v>
      </c>
      <c r="J576" s="12" t="str">
        <f>HYPERLINK("https://www.boe.es/gazeta/dias/1803/12/23/pdfs/GMD-1803-103.pdf#page=5","Abrir facsímil")</f>
        <v>Abrir facsímil</v>
      </c>
      <c r="K576" s="15" t="s">
        <v>23</v>
      </c>
    </row>
    <row r="577" spans="1:11" ht="42" customHeight="1">
      <c r="A577" s="4" t="s">
        <v>1583</v>
      </c>
      <c r="B577" s="5" t="s">
        <v>1584</v>
      </c>
      <c r="C577" s="5" t="s">
        <v>80</v>
      </c>
      <c r="D577" s="5" t="s">
        <v>81</v>
      </c>
      <c r="E577" s="5" t="s">
        <v>148</v>
      </c>
      <c r="F577" s="9">
        <v>15</v>
      </c>
      <c r="G577" s="9">
        <v>160</v>
      </c>
      <c r="H577" s="5" t="s">
        <v>21</v>
      </c>
      <c r="I577" s="5" t="s">
        <v>1585</v>
      </c>
      <c r="J577" s="12" t="str">
        <f>HYPERLINK("https://www.boe.es/gazeta/dias/1803/02/22/pdfs/GMD-1803-15.pdf#page=12","Abrir facsímil")</f>
        <v>Abrir facsímil</v>
      </c>
      <c r="K577" s="15" t="s">
        <v>23</v>
      </c>
    </row>
    <row r="578" spans="1:11" ht="42" customHeight="1">
      <c r="A578" s="4" t="s">
        <v>1586</v>
      </c>
      <c r="B578" s="5" t="s">
        <v>1587</v>
      </c>
      <c r="C578" s="5" t="s">
        <v>26</v>
      </c>
      <c r="D578" s="5" t="s">
        <v>27</v>
      </c>
      <c r="E578" s="5" t="s">
        <v>57</v>
      </c>
      <c r="F578" s="9">
        <v>51</v>
      </c>
      <c r="G578" s="9">
        <v>553</v>
      </c>
      <c r="H578" s="5" t="s">
        <v>21</v>
      </c>
      <c r="I578" s="5" t="s">
        <v>1588</v>
      </c>
      <c r="J578" s="12" t="str">
        <f>HYPERLINK("https://www.boe.es/gazeta/dias/1803/06/28/pdfs/GMD-1803-51.pdf#page=9","Abrir facsímil")</f>
        <v>Abrir facsímil</v>
      </c>
      <c r="K578" s="15" t="s">
        <v>23</v>
      </c>
    </row>
    <row r="579" spans="1:11" ht="42" customHeight="1">
      <c r="A579" s="4" t="s">
        <v>1586</v>
      </c>
      <c r="B579" s="5" t="s">
        <v>1587</v>
      </c>
      <c r="C579" s="5" t="s">
        <v>26</v>
      </c>
      <c r="D579" s="5" t="s">
        <v>27</v>
      </c>
      <c r="E579" s="5" t="s">
        <v>32</v>
      </c>
      <c r="F579" s="9">
        <v>74</v>
      </c>
      <c r="G579" s="9">
        <v>803</v>
      </c>
      <c r="H579" s="5" t="s">
        <v>21</v>
      </c>
      <c r="I579" s="5" t="s">
        <v>1589</v>
      </c>
      <c r="J579" s="12" t="str">
        <f>HYPERLINK("https://www.boe.es/gazeta/dias/1803/09/13/pdfs/GMD-1803-74.pdf#page=7","Abrir facsímil")</f>
        <v>Abrir facsímil</v>
      </c>
      <c r="K579" s="15" t="s">
        <v>23</v>
      </c>
    </row>
    <row r="580" spans="1:11" ht="42" customHeight="1">
      <c r="A580" s="4" t="s">
        <v>1590</v>
      </c>
      <c r="B580" s="5" t="s">
        <v>1591</v>
      </c>
      <c r="C580" s="5" t="s">
        <v>51</v>
      </c>
      <c r="D580" s="5" t="s">
        <v>52</v>
      </c>
      <c r="E580" s="5" t="s">
        <v>309</v>
      </c>
      <c r="F580" s="9">
        <v>37</v>
      </c>
      <c r="G580" s="9">
        <v>381</v>
      </c>
      <c r="H580" s="5" t="s">
        <v>21</v>
      </c>
      <c r="I580" s="5" t="s">
        <v>1592</v>
      </c>
      <c r="J580" s="12" t="str">
        <f>HYPERLINK("https://www.boe.es/gazeta/dias/1803/05/10/pdfs/GMD-1803-37.pdf#page=5","Abrir facsímil")</f>
        <v>Abrir facsímil</v>
      </c>
      <c r="K580" s="15" t="s">
        <v>23</v>
      </c>
    </row>
    <row r="581" spans="1:11" ht="42" customHeight="1">
      <c r="A581" s="4" t="s">
        <v>1590</v>
      </c>
      <c r="B581" s="5" t="s">
        <v>1591</v>
      </c>
      <c r="C581" s="5" t="s">
        <v>40</v>
      </c>
      <c r="D581" s="5" t="s">
        <v>41</v>
      </c>
      <c r="E581" s="5" t="s">
        <v>132</v>
      </c>
      <c r="F581" s="9">
        <v>58</v>
      </c>
      <c r="G581" s="9">
        <v>632</v>
      </c>
      <c r="H581" s="5" t="s">
        <v>21</v>
      </c>
      <c r="I581" s="5" t="s">
        <v>1593</v>
      </c>
      <c r="J581" s="12" t="str">
        <f>HYPERLINK("https://www.boe.es/gazeta/dias/1803/07/22/pdfs/GMD-1803-58.pdf#page=4","Abrir facsímil")</f>
        <v>Abrir facsímil</v>
      </c>
      <c r="K581" s="15" t="s">
        <v>23</v>
      </c>
    </row>
    <row r="582" spans="1:11" ht="42" customHeight="1">
      <c r="A582" s="4" t="s">
        <v>1594</v>
      </c>
      <c r="B582" s="5" t="s">
        <v>1595</v>
      </c>
      <c r="C582" s="5" t="s">
        <v>46</v>
      </c>
      <c r="D582" s="5" t="s">
        <v>19</v>
      </c>
      <c r="E582" s="5" t="s">
        <v>132</v>
      </c>
      <c r="F582" s="9">
        <v>58</v>
      </c>
      <c r="G582" s="9">
        <v>630</v>
      </c>
      <c r="H582" s="5" t="s">
        <v>21</v>
      </c>
      <c r="I582" s="5" t="s">
        <v>1596</v>
      </c>
      <c r="J582" s="12" t="str">
        <f>HYPERLINK("https://www.boe.es/gazeta/dias/1803/07/22/pdfs/GMD-1803-58.pdf#page=2","Abrir facsímil")</f>
        <v>Abrir facsímil</v>
      </c>
      <c r="K582" s="15" t="s">
        <v>23</v>
      </c>
    </row>
    <row r="583" spans="1:11" ht="42" customHeight="1">
      <c r="A583" s="4" t="s">
        <v>1597</v>
      </c>
      <c r="B583" s="5" t="s">
        <v>1598</v>
      </c>
      <c r="C583" s="5" t="s">
        <v>26</v>
      </c>
      <c r="D583" s="5" t="s">
        <v>27</v>
      </c>
      <c r="E583" s="5" t="s">
        <v>509</v>
      </c>
      <c r="F583" s="9">
        <v>6</v>
      </c>
      <c r="G583" s="9">
        <v>50</v>
      </c>
      <c r="H583" s="5" t="s">
        <v>21</v>
      </c>
      <c r="I583" s="5" t="s">
        <v>1599</v>
      </c>
      <c r="J583" s="12" t="str">
        <f>HYPERLINK("https://www.boe.es/gazeta/dias/1803/01/21/pdfs/GMD-1803-6.pdf#page=2","Abrir facsímil")</f>
        <v>Abrir facsímil</v>
      </c>
      <c r="K583" s="15" t="s">
        <v>23</v>
      </c>
    </row>
    <row r="584" spans="1:11" ht="42" customHeight="1">
      <c r="A584" s="4" t="s">
        <v>1600</v>
      </c>
      <c r="B584" s="5" t="s">
        <v>1601</v>
      </c>
      <c r="C584" s="5" t="s">
        <v>26</v>
      </c>
      <c r="D584" s="5" t="s">
        <v>27</v>
      </c>
      <c r="E584" s="5" t="s">
        <v>199</v>
      </c>
      <c r="F584" s="9">
        <v>88</v>
      </c>
      <c r="G584" s="9">
        <v>945</v>
      </c>
      <c r="H584" s="5" t="s">
        <v>21</v>
      </c>
      <c r="I584" s="5" t="s">
        <v>1602</v>
      </c>
      <c r="J584" s="12" t="str">
        <f>HYPERLINK("https://www.boe.es/gazeta/dias/1803/11/01/pdfs/GMD-1803-88.pdf#page=5","Abrir facsímil")</f>
        <v>Abrir facsímil</v>
      </c>
      <c r="K584" s="15" t="s">
        <v>23</v>
      </c>
    </row>
    <row r="585" spans="1:11" ht="42" customHeight="1">
      <c r="A585" s="4" t="s">
        <v>1603</v>
      </c>
      <c r="B585" s="5" t="s">
        <v>1603</v>
      </c>
      <c r="C585" s="5" t="s">
        <v>26</v>
      </c>
      <c r="D585" s="5" t="s">
        <v>27</v>
      </c>
      <c r="E585" s="5" t="s">
        <v>496</v>
      </c>
      <c r="F585" s="9">
        <v>90</v>
      </c>
      <c r="G585" s="9">
        <v>965</v>
      </c>
      <c r="H585" s="5" t="s">
        <v>21</v>
      </c>
      <c r="I585" s="5" t="s">
        <v>1604</v>
      </c>
      <c r="J585" s="12" t="str">
        <f>HYPERLINK("https://www.boe.es/gazeta/dias/1803/11/08/pdfs/GMD-1803-90.pdf#page=5","Abrir facsímil")</f>
        <v>Abrir facsímil</v>
      </c>
      <c r="K585" s="15" t="s">
        <v>23</v>
      </c>
    </row>
    <row r="586" spans="1:11" ht="42" customHeight="1">
      <c r="A586" s="4" t="s">
        <v>1605</v>
      </c>
      <c r="B586" s="5" t="s">
        <v>1605</v>
      </c>
      <c r="C586" s="5" t="s">
        <v>51</v>
      </c>
      <c r="D586" s="5" t="s">
        <v>52</v>
      </c>
      <c r="E586" s="5" t="s">
        <v>263</v>
      </c>
      <c r="F586" s="9">
        <v>75</v>
      </c>
      <c r="G586" s="9">
        <v>811</v>
      </c>
      <c r="H586" s="5" t="s">
        <v>21</v>
      </c>
      <c r="I586" s="5" t="s">
        <v>1606</v>
      </c>
      <c r="J586" s="12" t="str">
        <f>HYPERLINK("https://www.boe.es/gazeta/dias/1803/09/16/pdfs/GMD-1803-75.pdf#page=7","Abrir facsímil")</f>
        <v>Abrir facsímil</v>
      </c>
      <c r="K586" s="15" t="s">
        <v>23</v>
      </c>
    </row>
    <row r="587" spans="1:11" ht="42" customHeight="1">
      <c r="A587" s="4" t="s">
        <v>1605</v>
      </c>
      <c r="B587" s="5" t="s">
        <v>1605</v>
      </c>
      <c r="C587" s="5" t="s">
        <v>40</v>
      </c>
      <c r="D587" s="5" t="s">
        <v>41</v>
      </c>
      <c r="E587" s="5" t="s">
        <v>113</v>
      </c>
      <c r="F587" s="9">
        <v>93</v>
      </c>
      <c r="G587" s="9">
        <v>994</v>
      </c>
      <c r="H587" s="5" t="s">
        <v>21</v>
      </c>
      <c r="I587" s="5" t="s">
        <v>1607</v>
      </c>
      <c r="J587" s="12" t="str">
        <f>HYPERLINK("https://www.boe.es/gazeta/dias/1803/11/18/pdfs/GMD-1803-93.pdf#page=6","Abrir facsímil")</f>
        <v>Abrir facsímil</v>
      </c>
      <c r="K587" s="15" t="s">
        <v>23</v>
      </c>
    </row>
    <row r="588" spans="1:11" ht="42" customHeight="1">
      <c r="A588" s="4" t="s">
        <v>1608</v>
      </c>
      <c r="B588" s="5" t="s">
        <v>1609</v>
      </c>
      <c r="C588" s="5" t="s">
        <v>40</v>
      </c>
      <c r="D588" s="5" t="s">
        <v>41</v>
      </c>
      <c r="E588" s="5" t="s">
        <v>189</v>
      </c>
      <c r="F588" s="9">
        <v>9</v>
      </c>
      <c r="G588" s="9">
        <v>87</v>
      </c>
      <c r="H588" s="5" t="s">
        <v>21</v>
      </c>
      <c r="I588" s="5" t="s">
        <v>1610</v>
      </c>
      <c r="J588" s="12" t="str">
        <f>HYPERLINK("https://www.boe.es/gazeta/dias/1803/02/01/pdfs/GMD-1803-9.pdf#page=3","Abrir facsímil")</f>
        <v>Abrir facsímil</v>
      </c>
      <c r="K588" s="15" t="s">
        <v>23</v>
      </c>
    </row>
    <row r="589" spans="1:11" ht="42" customHeight="1">
      <c r="A589" s="4" t="s">
        <v>1608</v>
      </c>
      <c r="B589" s="5" t="s">
        <v>1609</v>
      </c>
      <c r="C589" s="5" t="s">
        <v>40</v>
      </c>
      <c r="D589" s="5" t="s">
        <v>41</v>
      </c>
      <c r="E589" s="5" t="s">
        <v>317</v>
      </c>
      <c r="F589" s="9">
        <v>12</v>
      </c>
      <c r="G589" s="9">
        <v>114</v>
      </c>
      <c r="H589" s="5" t="s">
        <v>21</v>
      </c>
      <c r="I589" s="5" t="s">
        <v>1611</v>
      </c>
      <c r="J589" s="12" t="str">
        <f>HYPERLINK("https://www.boe.es/gazeta/dias/1803/02/11/pdfs/GMD-1803-12.pdf#page=2","Abrir facsímil")</f>
        <v>Abrir facsímil</v>
      </c>
      <c r="K589" s="15" t="s">
        <v>23</v>
      </c>
    </row>
    <row r="590" spans="1:11" ht="42" customHeight="1">
      <c r="A590" s="4" t="s">
        <v>1608</v>
      </c>
      <c r="B590" s="5" t="s">
        <v>1609</v>
      </c>
      <c r="C590" s="5" t="s">
        <v>40</v>
      </c>
      <c r="D590" s="5" t="s">
        <v>41</v>
      </c>
      <c r="E590" s="5" t="s">
        <v>395</v>
      </c>
      <c r="F590" s="9">
        <v>13</v>
      </c>
      <c r="G590" s="9">
        <v>128</v>
      </c>
      <c r="H590" s="5" t="s">
        <v>21</v>
      </c>
      <c r="I590" s="5" t="s">
        <v>1612</v>
      </c>
      <c r="J590" s="12" t="str">
        <f>HYPERLINK("https://www.boe.es/gazeta/dias/1803/02/15/pdfs/GMD-1803-13.pdf#page=4","Abrir facsímil")</f>
        <v>Abrir facsímil</v>
      </c>
      <c r="K590" s="15" t="s">
        <v>23</v>
      </c>
    </row>
    <row r="591" spans="1:11" ht="42" customHeight="1">
      <c r="A591" s="4" t="s">
        <v>1608</v>
      </c>
      <c r="B591" s="5" t="s">
        <v>1609</v>
      </c>
      <c r="C591" s="5" t="s">
        <v>40</v>
      </c>
      <c r="D591" s="5" t="s">
        <v>41</v>
      </c>
      <c r="E591" s="5" t="s">
        <v>214</v>
      </c>
      <c r="F591" s="9">
        <v>17</v>
      </c>
      <c r="G591" s="9">
        <v>170</v>
      </c>
      <c r="H591" s="5" t="s">
        <v>21</v>
      </c>
      <c r="I591" s="5" t="s">
        <v>1613</v>
      </c>
      <c r="J591" s="12" t="str">
        <f>HYPERLINK("https://www.boe.es/gazeta/dias/1803/03/01/pdfs/GMD-1803-17.pdf#page=2","Abrir facsímil")</f>
        <v>Abrir facsímil</v>
      </c>
      <c r="K591" s="15" t="s">
        <v>23</v>
      </c>
    </row>
    <row r="592" spans="1:11" ht="42" customHeight="1">
      <c r="A592" s="4" t="s">
        <v>1608</v>
      </c>
      <c r="B592" s="5" t="s">
        <v>1609</v>
      </c>
      <c r="C592" s="5" t="s">
        <v>40</v>
      </c>
      <c r="D592" s="5" t="s">
        <v>41</v>
      </c>
      <c r="E592" s="5" t="s">
        <v>218</v>
      </c>
      <c r="F592" s="9">
        <v>19</v>
      </c>
      <c r="G592" s="9">
        <v>196</v>
      </c>
      <c r="H592" s="5" t="s">
        <v>21</v>
      </c>
      <c r="I592" s="5" t="s">
        <v>1614</v>
      </c>
      <c r="J592" s="12" t="str">
        <f>HYPERLINK("https://www.boe.es/gazeta/dias/1803/03/08/pdfs/GMD-1803-19.pdf#page=4","Abrir facsímil")</f>
        <v>Abrir facsímil</v>
      </c>
      <c r="K592" s="15" t="s">
        <v>23</v>
      </c>
    </row>
    <row r="593" spans="1:11" ht="42" customHeight="1">
      <c r="A593" s="4" t="s">
        <v>1608</v>
      </c>
      <c r="B593" s="5" t="s">
        <v>1609</v>
      </c>
      <c r="C593" s="5" t="s">
        <v>46</v>
      </c>
      <c r="D593" s="5" t="s">
        <v>19</v>
      </c>
      <c r="E593" s="5" t="s">
        <v>657</v>
      </c>
      <c r="F593" s="9">
        <v>24</v>
      </c>
      <c r="G593" s="9">
        <v>250</v>
      </c>
      <c r="H593" s="5" t="s">
        <v>21</v>
      </c>
      <c r="I593" s="5" t="s">
        <v>1615</v>
      </c>
      <c r="J593" s="12" t="str">
        <f>HYPERLINK("https://www.boe.es/gazeta/dias/1803/03/25/pdfs/GMD-1803-24.pdf#page=2","Abrir facsímil")</f>
        <v>Abrir facsímil</v>
      </c>
      <c r="K593" s="15" t="s">
        <v>23</v>
      </c>
    </row>
    <row r="594" spans="1:11" ht="42" customHeight="1">
      <c r="A594" s="4" t="s">
        <v>1608</v>
      </c>
      <c r="B594" s="5" t="s">
        <v>1609</v>
      </c>
      <c r="C594" s="5" t="s">
        <v>40</v>
      </c>
      <c r="D594" s="5" t="s">
        <v>41</v>
      </c>
      <c r="E594" s="5" t="s">
        <v>272</v>
      </c>
      <c r="F594" s="9">
        <v>25</v>
      </c>
      <c r="G594" s="9">
        <v>262</v>
      </c>
      <c r="H594" s="5" t="s">
        <v>21</v>
      </c>
      <c r="I594" s="5" t="s">
        <v>1616</v>
      </c>
      <c r="J594" s="12" t="str">
        <f>HYPERLINK("https://www.boe.es/gazeta/dias/1803/03/29/pdfs/GMD-1803-25.pdf#page=2","Abrir facsímil")</f>
        <v>Abrir facsímil</v>
      </c>
      <c r="K594" s="15" t="s">
        <v>23</v>
      </c>
    </row>
    <row r="595" spans="1:11" ht="42" customHeight="1">
      <c r="A595" s="4" t="s">
        <v>1608</v>
      </c>
      <c r="B595" s="5" t="s">
        <v>1609</v>
      </c>
      <c r="C595" s="5" t="s">
        <v>18</v>
      </c>
      <c r="D595" s="5" t="s">
        <v>19</v>
      </c>
      <c r="E595" s="5" t="s">
        <v>752</v>
      </c>
      <c r="F595" s="9">
        <v>30</v>
      </c>
      <c r="G595" s="9">
        <v>314</v>
      </c>
      <c r="H595" s="5" t="s">
        <v>21</v>
      </c>
      <c r="I595" s="5" t="s">
        <v>1617</v>
      </c>
      <c r="J595" s="12" t="str">
        <f>HYPERLINK("https://www.boe.es/gazeta/dias/1803/04/15/pdfs/GMD-1803-30.pdf#page=2","Abrir facsímil")</f>
        <v>Abrir facsímil</v>
      </c>
      <c r="K595" s="15" t="s">
        <v>23</v>
      </c>
    </row>
    <row r="596" spans="1:11" ht="42" customHeight="1">
      <c r="A596" s="4" t="s">
        <v>1608</v>
      </c>
      <c r="B596" s="5" t="s">
        <v>1609</v>
      </c>
      <c r="C596" s="5" t="s">
        <v>26</v>
      </c>
      <c r="D596" s="5" t="s">
        <v>27</v>
      </c>
      <c r="E596" s="5" t="s">
        <v>102</v>
      </c>
      <c r="F596" s="9">
        <v>31</v>
      </c>
      <c r="G596" s="9">
        <v>321</v>
      </c>
      <c r="H596" s="5" t="s">
        <v>21</v>
      </c>
      <c r="I596" s="5" t="s">
        <v>1618</v>
      </c>
      <c r="J596" s="12" t="str">
        <f>HYPERLINK("https://www.boe.es/gazeta/dias/1803/04/19/pdfs/GMD-1803-31.pdf#page=1","Abrir facsímil")</f>
        <v>Abrir facsímil</v>
      </c>
      <c r="K596" s="15" t="s">
        <v>23</v>
      </c>
    </row>
    <row r="597" spans="1:11" ht="42" customHeight="1">
      <c r="A597" s="4" t="s">
        <v>1608</v>
      </c>
      <c r="B597" s="5" t="s">
        <v>1609</v>
      </c>
      <c r="C597" s="5" t="s">
        <v>80</v>
      </c>
      <c r="D597" s="5" t="s">
        <v>81</v>
      </c>
      <c r="E597" s="5" t="s">
        <v>289</v>
      </c>
      <c r="F597" s="9">
        <v>38</v>
      </c>
      <c r="G597" s="9">
        <v>393</v>
      </c>
      <c r="H597" s="5" t="s">
        <v>21</v>
      </c>
      <c r="I597" s="5" t="s">
        <v>1619</v>
      </c>
      <c r="J597" s="12" t="str">
        <f>HYPERLINK("https://www.boe.es/gazeta/dias/1803/05/13/pdfs/GMD-1803-38.pdf#page=1","Abrir facsímil")</f>
        <v>Abrir facsímil</v>
      </c>
      <c r="K597" s="15" t="s">
        <v>23</v>
      </c>
    </row>
    <row r="598" spans="1:11" ht="42" customHeight="1">
      <c r="A598" s="4" t="s">
        <v>1608</v>
      </c>
      <c r="B598" s="5" t="s">
        <v>1609</v>
      </c>
      <c r="C598" s="5" t="s">
        <v>40</v>
      </c>
      <c r="D598" s="5" t="s">
        <v>41</v>
      </c>
      <c r="E598" s="5" t="s">
        <v>132</v>
      </c>
      <c r="F598" s="9">
        <v>58</v>
      </c>
      <c r="G598" s="9">
        <v>630</v>
      </c>
      <c r="H598" s="5" t="s">
        <v>21</v>
      </c>
      <c r="I598" s="5" t="s">
        <v>1620</v>
      </c>
      <c r="J598" s="12" t="str">
        <f>HYPERLINK("https://www.boe.es/gazeta/dias/1803/07/22/pdfs/GMD-1803-58.pdf#page=2","Abrir facsímil")</f>
        <v>Abrir facsímil</v>
      </c>
      <c r="K598" s="15" t="s">
        <v>23</v>
      </c>
    </row>
    <row r="599" spans="1:11" ht="42" customHeight="1">
      <c r="A599" s="4" t="s">
        <v>1608</v>
      </c>
      <c r="B599" s="5" t="s">
        <v>1609</v>
      </c>
      <c r="C599" s="5" t="s">
        <v>40</v>
      </c>
      <c r="D599" s="5" t="s">
        <v>41</v>
      </c>
      <c r="E599" s="5" t="s">
        <v>588</v>
      </c>
      <c r="F599" s="9">
        <v>63</v>
      </c>
      <c r="G599" s="9">
        <v>682</v>
      </c>
      <c r="H599" s="5" t="s">
        <v>21</v>
      </c>
      <c r="I599" s="5" t="s">
        <v>1621</v>
      </c>
      <c r="J599" s="12" t="str">
        <f>HYPERLINK("https://www.boe.es/gazeta/dias/1803/08/09/pdfs/GMD-1803-63.pdf#page=2","Abrir facsímil")</f>
        <v>Abrir facsímil</v>
      </c>
      <c r="K599" s="15" t="s">
        <v>23</v>
      </c>
    </row>
    <row r="600" spans="1:11" ht="42" customHeight="1">
      <c r="A600" s="4" t="s">
        <v>1608</v>
      </c>
      <c r="B600" s="5" t="s">
        <v>1609</v>
      </c>
      <c r="C600" s="5" t="s">
        <v>80</v>
      </c>
      <c r="D600" s="5" t="s">
        <v>81</v>
      </c>
      <c r="E600" s="5" t="s">
        <v>64</v>
      </c>
      <c r="F600" s="9">
        <v>65</v>
      </c>
      <c r="G600" s="9">
        <v>704</v>
      </c>
      <c r="H600" s="5" t="s">
        <v>21</v>
      </c>
      <c r="I600" s="5" t="s">
        <v>1622</v>
      </c>
      <c r="J600" s="12" t="str">
        <f>HYPERLINK("https://www.boe.es/gazeta/dias/1803/08/16/pdfs/GMD-1803-65.pdf#page=4","Abrir facsímil")</f>
        <v>Abrir facsímil</v>
      </c>
      <c r="K600" s="15" t="s">
        <v>23</v>
      </c>
    </row>
    <row r="601" spans="1:11" ht="42" customHeight="1">
      <c r="A601" s="4" t="s">
        <v>1608</v>
      </c>
      <c r="B601" s="5" t="s">
        <v>1609</v>
      </c>
      <c r="C601" s="5" t="s">
        <v>26</v>
      </c>
      <c r="D601" s="5" t="s">
        <v>27</v>
      </c>
      <c r="E601" s="5" t="s">
        <v>61</v>
      </c>
      <c r="F601" s="9">
        <v>67</v>
      </c>
      <c r="G601" s="9">
        <v>721</v>
      </c>
      <c r="H601" s="5" t="s">
        <v>21</v>
      </c>
      <c r="I601" s="5" t="s">
        <v>1623</v>
      </c>
      <c r="J601" s="12" t="str">
        <f>HYPERLINK("https://www.boe.es/gazeta/dias/1803/08/23/pdfs/GMD-1803-67.pdf#page=1","Abrir facsímil")</f>
        <v>Abrir facsímil</v>
      </c>
      <c r="K601" s="15" t="s">
        <v>23</v>
      </c>
    </row>
    <row r="602" spans="1:11" ht="42" customHeight="1">
      <c r="A602" s="4" t="s">
        <v>1608</v>
      </c>
      <c r="B602" s="5" t="s">
        <v>1609</v>
      </c>
      <c r="C602" s="5" t="s">
        <v>40</v>
      </c>
      <c r="D602" s="5" t="s">
        <v>41</v>
      </c>
      <c r="E602" s="5" t="s">
        <v>138</v>
      </c>
      <c r="F602" s="9">
        <v>68</v>
      </c>
      <c r="G602" s="9">
        <v>736</v>
      </c>
      <c r="H602" s="5" t="s">
        <v>21</v>
      </c>
      <c r="I602" s="5" t="s">
        <v>1624</v>
      </c>
      <c r="J602" s="12" t="str">
        <f>HYPERLINK("https://www.boe.es/gazeta/dias/1803/08/26/pdfs/GMD-1803-68.pdf#page=4","Abrir facsímil")</f>
        <v>Abrir facsímil</v>
      </c>
      <c r="K602" s="15" t="s">
        <v>23</v>
      </c>
    </row>
    <row r="603" spans="1:11" ht="42" customHeight="1">
      <c r="A603" s="4" t="s">
        <v>1608</v>
      </c>
      <c r="B603" s="5" t="s">
        <v>1609</v>
      </c>
      <c r="C603" s="5" t="s">
        <v>26</v>
      </c>
      <c r="D603" s="5" t="s">
        <v>27</v>
      </c>
      <c r="E603" s="5" t="s">
        <v>726</v>
      </c>
      <c r="F603" s="9">
        <v>78</v>
      </c>
      <c r="G603" s="9">
        <v>840</v>
      </c>
      <c r="H603" s="5" t="s">
        <v>21</v>
      </c>
      <c r="I603" s="5" t="s">
        <v>1625</v>
      </c>
      <c r="J603" s="12" t="str">
        <f>HYPERLINK("https://www.boe.es/gazeta/dias/1803/09/27/pdfs/GMD-1803-78.pdf#page=4","Abrir facsímil")</f>
        <v>Abrir facsímil</v>
      </c>
      <c r="K603" s="15" t="s">
        <v>23</v>
      </c>
    </row>
    <row r="604" spans="1:11" ht="42" customHeight="1">
      <c r="A604" s="4" t="s">
        <v>1608</v>
      </c>
      <c r="B604" s="5" t="s">
        <v>1609</v>
      </c>
      <c r="C604" s="5" t="s">
        <v>40</v>
      </c>
      <c r="D604" s="5" t="s">
        <v>41</v>
      </c>
      <c r="E604" s="5" t="s">
        <v>407</v>
      </c>
      <c r="F604" s="9">
        <v>82</v>
      </c>
      <c r="G604" s="9">
        <v>878</v>
      </c>
      <c r="H604" s="5" t="s">
        <v>21</v>
      </c>
      <c r="I604" s="5" t="s">
        <v>1626</v>
      </c>
      <c r="J604" s="12" t="str">
        <f>HYPERLINK("https://www.boe.es/gazeta/dias/1803/10/11/pdfs/GMD-1803-82.pdf#page=2","Abrir facsímil")</f>
        <v>Abrir facsímil</v>
      </c>
      <c r="K604" s="15" t="s">
        <v>23</v>
      </c>
    </row>
    <row r="605" spans="1:11" ht="42" customHeight="1">
      <c r="A605" s="4" t="s">
        <v>1608</v>
      </c>
      <c r="B605" s="5" t="s">
        <v>1609</v>
      </c>
      <c r="C605" s="5" t="s">
        <v>40</v>
      </c>
      <c r="D605" s="5" t="s">
        <v>41</v>
      </c>
      <c r="E605" s="5" t="s">
        <v>630</v>
      </c>
      <c r="F605" s="9">
        <v>85</v>
      </c>
      <c r="G605" s="9">
        <v>910</v>
      </c>
      <c r="H605" s="5" t="s">
        <v>21</v>
      </c>
      <c r="I605" s="5" t="s">
        <v>1627</v>
      </c>
      <c r="J605" s="12" t="str">
        <f>HYPERLINK("https://www.boe.es/gazeta/dias/1803/10/21/pdfs/GMD-1803-85.pdf#page=2","Abrir facsímil")</f>
        <v>Abrir facsímil</v>
      </c>
      <c r="K605" s="15" t="s">
        <v>23</v>
      </c>
    </row>
    <row r="606" spans="1:11" ht="42" customHeight="1">
      <c r="A606" s="4" t="s">
        <v>1608</v>
      </c>
      <c r="B606" s="5" t="s">
        <v>1609</v>
      </c>
      <c r="C606" s="5" t="s">
        <v>40</v>
      </c>
      <c r="D606" s="5" t="s">
        <v>41</v>
      </c>
      <c r="E606" s="5" t="s">
        <v>630</v>
      </c>
      <c r="F606" s="9">
        <v>85</v>
      </c>
      <c r="G606" s="9">
        <v>911</v>
      </c>
      <c r="H606" s="5" t="s">
        <v>21</v>
      </c>
      <c r="I606" s="5" t="s">
        <v>1628</v>
      </c>
      <c r="J606" s="12" t="str">
        <f>HYPERLINK("https://www.boe.es/gazeta/dias/1803/10/21/pdfs/GMD-1803-85.pdf#page=3","Abrir facsímil")</f>
        <v>Abrir facsímil</v>
      </c>
      <c r="K606" s="15" t="s">
        <v>23</v>
      </c>
    </row>
    <row r="607" spans="1:11" ht="42" customHeight="1">
      <c r="A607" s="4" t="s">
        <v>1608</v>
      </c>
      <c r="B607" s="5" t="s">
        <v>1609</v>
      </c>
      <c r="C607" s="5" t="s">
        <v>40</v>
      </c>
      <c r="D607" s="5" t="s">
        <v>41</v>
      </c>
      <c r="E607" s="5" t="s">
        <v>28</v>
      </c>
      <c r="F607" s="9">
        <v>92</v>
      </c>
      <c r="G607" s="9">
        <v>981</v>
      </c>
      <c r="H607" s="5" t="s">
        <v>21</v>
      </c>
      <c r="I607" s="5" t="s">
        <v>1629</v>
      </c>
      <c r="J607" s="12" t="str">
        <f>HYPERLINK("https://www.boe.es/gazeta/dias/1803/11/15/pdfs/GMD-1803-92.pdf#page=1","Abrir facsímil")</f>
        <v>Abrir facsímil</v>
      </c>
      <c r="K607" s="15" t="s">
        <v>23</v>
      </c>
    </row>
    <row r="608" spans="1:11" ht="42" customHeight="1">
      <c r="A608" s="4" t="s">
        <v>1608</v>
      </c>
      <c r="B608" s="5" t="s">
        <v>1609</v>
      </c>
      <c r="C608" s="5" t="s">
        <v>26</v>
      </c>
      <c r="D608" s="5" t="s">
        <v>27</v>
      </c>
      <c r="E608" s="5" t="s">
        <v>28</v>
      </c>
      <c r="F608" s="9">
        <v>92</v>
      </c>
      <c r="G608" s="9">
        <v>982</v>
      </c>
      <c r="H608" s="5" t="s">
        <v>21</v>
      </c>
      <c r="I608" s="5" t="s">
        <v>1630</v>
      </c>
      <c r="J608" s="12" t="str">
        <f>HYPERLINK("https://www.boe.es/gazeta/dias/1803/11/15/pdfs/GMD-1803-92.pdf#page=2","Abrir facsímil")</f>
        <v>Abrir facsímil</v>
      </c>
      <c r="K608" s="15" t="s">
        <v>23</v>
      </c>
    </row>
    <row r="609" spans="1:11" ht="42" customHeight="1">
      <c r="A609" s="4" t="s">
        <v>1608</v>
      </c>
      <c r="B609" s="5" t="s">
        <v>1609</v>
      </c>
      <c r="C609" s="5" t="s">
        <v>18</v>
      </c>
      <c r="D609" s="5" t="s">
        <v>19</v>
      </c>
      <c r="E609" s="5" t="s">
        <v>300</v>
      </c>
      <c r="F609" s="9">
        <v>96</v>
      </c>
      <c r="G609" s="9">
        <v>1028</v>
      </c>
      <c r="H609" s="5" t="s">
        <v>21</v>
      </c>
      <c r="I609" s="5" t="s">
        <v>1631</v>
      </c>
      <c r="J609" s="12" t="str">
        <f>HYPERLINK("https://www.boe.es/gazeta/dias/1803/11/29/pdfs/GMD-1803-96.pdf#page=4","Abrir facsímil")</f>
        <v>Abrir facsímil</v>
      </c>
      <c r="K609" s="15" t="s">
        <v>23</v>
      </c>
    </row>
    <row r="610" spans="1:11" ht="42" customHeight="1">
      <c r="A610" s="4" t="s">
        <v>1632</v>
      </c>
      <c r="B610" s="5" t="s">
        <v>1633</v>
      </c>
      <c r="C610" s="5" t="s">
        <v>40</v>
      </c>
      <c r="D610" s="5" t="s">
        <v>41</v>
      </c>
      <c r="E610" s="5" t="s">
        <v>439</v>
      </c>
      <c r="F610" s="9">
        <v>76</v>
      </c>
      <c r="G610" s="9">
        <v>814</v>
      </c>
      <c r="H610" s="5" t="s">
        <v>21</v>
      </c>
      <c r="I610" s="5" t="s">
        <v>1634</v>
      </c>
      <c r="J610" s="12" t="str">
        <f>HYPERLINK("https://www.boe.es/gazeta/dias/1803/09/20/pdfs/GMD-1803-76.pdf#page=2","Abrir facsímil")</f>
        <v>Abrir facsímil</v>
      </c>
      <c r="K610" s="15" t="s">
        <v>23</v>
      </c>
    </row>
    <row r="611" spans="1:11" ht="42" customHeight="1">
      <c r="A611" s="4" t="s">
        <v>1635</v>
      </c>
      <c r="B611" s="5" t="s">
        <v>1636</v>
      </c>
      <c r="C611" s="5" t="s">
        <v>80</v>
      </c>
      <c r="D611" s="5" t="s">
        <v>81</v>
      </c>
      <c r="E611" s="5" t="s">
        <v>657</v>
      </c>
      <c r="F611" s="9">
        <v>24</v>
      </c>
      <c r="G611" s="9">
        <v>259</v>
      </c>
      <c r="H611" s="5" t="s">
        <v>21</v>
      </c>
      <c r="I611" s="5" t="s">
        <v>1637</v>
      </c>
      <c r="J611" s="12" t="str">
        <f>HYPERLINK("https://www.boe.es/gazeta/dias/1803/03/25/pdfs/GMD-1803-24.pdf#page=11","Abrir facsímil")</f>
        <v>Abrir facsímil</v>
      </c>
      <c r="K611" s="15" t="s">
        <v>23</v>
      </c>
    </row>
    <row r="612" spans="1:11" ht="42" customHeight="1">
      <c r="A612" s="4" t="s">
        <v>1638</v>
      </c>
      <c r="B612" s="5" t="s">
        <v>1639</v>
      </c>
      <c r="C612" s="5" t="s">
        <v>80</v>
      </c>
      <c r="D612" s="5" t="s">
        <v>81</v>
      </c>
      <c r="E612" s="5" t="s">
        <v>1279</v>
      </c>
      <c r="F612" s="9">
        <v>3</v>
      </c>
      <c r="G612" s="9">
        <v>28</v>
      </c>
      <c r="H612" s="5" t="s">
        <v>21</v>
      </c>
      <c r="I612" s="5" t="s">
        <v>1640</v>
      </c>
      <c r="J612" s="12" t="str">
        <f>HYPERLINK("https://www.boe.es/gazeta/dias/1803/01/11/pdfs/GMD-1803-3.pdf#page=8","Abrir facsímil")</f>
        <v>Abrir facsímil</v>
      </c>
      <c r="K612" s="15" t="s">
        <v>23</v>
      </c>
    </row>
    <row r="613" spans="1:11" ht="42" customHeight="1">
      <c r="A613" s="4" t="s">
        <v>1638</v>
      </c>
      <c r="B613" s="5" t="s">
        <v>1639</v>
      </c>
      <c r="C613" s="5" t="s">
        <v>80</v>
      </c>
      <c r="D613" s="5" t="s">
        <v>81</v>
      </c>
      <c r="E613" s="5" t="s">
        <v>47</v>
      </c>
      <c r="F613" s="9">
        <v>33</v>
      </c>
      <c r="G613" s="9">
        <v>352</v>
      </c>
      <c r="H613" s="5" t="s">
        <v>21</v>
      </c>
      <c r="I613" s="5" t="s">
        <v>1641</v>
      </c>
      <c r="J613" s="12" t="str">
        <f>HYPERLINK("https://www.boe.es/gazeta/dias/1803/04/26/pdfs/GMD-1803-33.pdf#page=12","Abrir facsímil")</f>
        <v>Abrir facsímil</v>
      </c>
      <c r="K613" s="15" t="s">
        <v>23</v>
      </c>
    </row>
    <row r="614" spans="1:11" ht="42" customHeight="1">
      <c r="A614" s="4" t="s">
        <v>1638</v>
      </c>
      <c r="B614" s="5" t="s">
        <v>1639</v>
      </c>
      <c r="C614" s="5" t="s">
        <v>80</v>
      </c>
      <c r="D614" s="5" t="s">
        <v>81</v>
      </c>
      <c r="E614" s="5" t="s">
        <v>619</v>
      </c>
      <c r="F614" s="9">
        <v>53</v>
      </c>
      <c r="G614" s="9">
        <v>580</v>
      </c>
      <c r="H614" s="5" t="s">
        <v>21</v>
      </c>
      <c r="I614" s="5" t="s">
        <v>1642</v>
      </c>
      <c r="J614" s="12" t="str">
        <f>HYPERLINK("https://www.boe.es/gazeta/dias/1803/07/05/pdfs/GMD-1803-53.pdf#page=12","Abrir facsímil")</f>
        <v>Abrir facsímil</v>
      </c>
      <c r="K614" s="15" t="s">
        <v>23</v>
      </c>
    </row>
    <row r="615" spans="1:11" ht="42" customHeight="1">
      <c r="A615" s="4" t="s">
        <v>1638</v>
      </c>
      <c r="B615" s="5" t="s">
        <v>1639</v>
      </c>
      <c r="C615" s="5" t="s">
        <v>80</v>
      </c>
      <c r="D615" s="5" t="s">
        <v>81</v>
      </c>
      <c r="E615" s="5" t="s">
        <v>399</v>
      </c>
      <c r="F615" s="9">
        <v>95</v>
      </c>
      <c r="G615" s="9">
        <v>1020</v>
      </c>
      <c r="H615" s="5" t="s">
        <v>21</v>
      </c>
      <c r="I615" s="5" t="s">
        <v>1643</v>
      </c>
      <c r="J615" s="12" t="str">
        <f>HYPERLINK("https://www.boe.es/gazeta/dias/1803/11/25/pdfs/GMD-1803-95.pdf#page=8","Abrir facsímil")</f>
        <v>Abrir facsímil</v>
      </c>
      <c r="K615" s="15" t="s">
        <v>23</v>
      </c>
    </row>
    <row r="616" spans="1:11" ht="42" customHeight="1">
      <c r="A616" s="4" t="s">
        <v>1644</v>
      </c>
      <c r="B616" s="5" t="s">
        <v>1645</v>
      </c>
      <c r="C616" s="5" t="s">
        <v>51</v>
      </c>
      <c r="D616" s="5" t="s">
        <v>52</v>
      </c>
      <c r="E616" s="5" t="s">
        <v>496</v>
      </c>
      <c r="F616" s="9">
        <v>90</v>
      </c>
      <c r="G616" s="9">
        <v>966</v>
      </c>
      <c r="H616" s="5" t="s">
        <v>21</v>
      </c>
      <c r="I616" s="5" t="s">
        <v>1646</v>
      </c>
      <c r="J616" s="12" t="str">
        <f>HYPERLINK("https://www.boe.es/gazeta/dias/1803/11/08/pdfs/GMD-1803-90.pdf#page=6","Abrir facsímil")</f>
        <v>Abrir facsímil</v>
      </c>
      <c r="K616" s="15" t="s">
        <v>23</v>
      </c>
    </row>
    <row r="617" spans="1:11" ht="42" customHeight="1">
      <c r="A617" s="4" t="s">
        <v>1647</v>
      </c>
      <c r="B617" s="5" t="s">
        <v>1648</v>
      </c>
      <c r="C617" s="5" t="s">
        <v>40</v>
      </c>
      <c r="D617" s="5" t="s">
        <v>41</v>
      </c>
      <c r="E617" s="5" t="s">
        <v>795</v>
      </c>
      <c r="F617" s="9">
        <v>98</v>
      </c>
      <c r="G617" s="9">
        <v>1050</v>
      </c>
      <c r="H617" s="5" t="s">
        <v>21</v>
      </c>
      <c r="I617" s="5" t="s">
        <v>1649</v>
      </c>
      <c r="J617" s="12" t="str">
        <f>HYPERLINK("https://www.boe.es/gazeta/dias/1803/12/06/pdfs/GMD-1803-98.pdf#page=6","Abrir facsímil")</f>
        <v>Abrir facsímil</v>
      </c>
      <c r="K617" s="15" t="s">
        <v>23</v>
      </c>
    </row>
    <row r="618" spans="1:11" ht="42" customHeight="1">
      <c r="A618" s="4" t="s">
        <v>1650</v>
      </c>
      <c r="B618" s="5" t="s">
        <v>1651</v>
      </c>
      <c r="C618" s="5" t="s">
        <v>26</v>
      </c>
      <c r="D618" s="5" t="s">
        <v>27</v>
      </c>
      <c r="E618" s="5" t="s">
        <v>403</v>
      </c>
      <c r="F618" s="9">
        <v>91</v>
      </c>
      <c r="G618" s="9">
        <v>976</v>
      </c>
      <c r="H618" s="5" t="s">
        <v>21</v>
      </c>
      <c r="I618" s="5" t="s">
        <v>1652</v>
      </c>
      <c r="J618" s="12" t="str">
        <f>HYPERLINK("https://www.boe.es/gazeta/dias/1803/11/11/pdfs/GMD-1803-91.pdf#page=8","Abrir facsímil")</f>
        <v>Abrir facsímil</v>
      </c>
      <c r="K618" s="15" t="s">
        <v>23</v>
      </c>
    </row>
    <row r="619" spans="1:11" ht="42" customHeight="1">
      <c r="A619" s="4" t="s">
        <v>1653</v>
      </c>
      <c r="B619" s="5" t="s">
        <v>1654</v>
      </c>
      <c r="C619" s="5" t="s">
        <v>80</v>
      </c>
      <c r="D619" s="5" t="s">
        <v>81</v>
      </c>
      <c r="E619" s="5" t="s">
        <v>726</v>
      </c>
      <c r="F619" s="9">
        <v>78</v>
      </c>
      <c r="G619" s="9">
        <v>847</v>
      </c>
      <c r="H619" s="5" t="s">
        <v>21</v>
      </c>
      <c r="I619" s="5" t="s">
        <v>1655</v>
      </c>
      <c r="J619" s="12" t="str">
        <f>HYPERLINK("https://www.boe.es/gazeta/dias/1803/09/27/pdfs/GMD-1803-78.pdf#page=11","Abrir facsímil")</f>
        <v>Abrir facsímil</v>
      </c>
      <c r="K619" s="15" t="s">
        <v>23</v>
      </c>
    </row>
    <row r="620" spans="1:11" ht="42" customHeight="1">
      <c r="A620" s="4" t="s">
        <v>1653</v>
      </c>
      <c r="B620" s="5" t="s">
        <v>1654</v>
      </c>
      <c r="C620" s="5" t="s">
        <v>51</v>
      </c>
      <c r="D620" s="5" t="s">
        <v>52</v>
      </c>
      <c r="E620" s="5" t="s">
        <v>399</v>
      </c>
      <c r="F620" s="9">
        <v>95</v>
      </c>
      <c r="G620" s="9">
        <v>1019</v>
      </c>
      <c r="H620" s="5" t="s">
        <v>21</v>
      </c>
      <c r="I620" s="5" t="s">
        <v>1656</v>
      </c>
      <c r="J620" s="12" t="str">
        <f>HYPERLINK("https://www.boe.es/gazeta/dias/1803/11/25/pdfs/GMD-1803-95.pdf#page=7","Abrir facsímil")</f>
        <v>Abrir facsímil</v>
      </c>
      <c r="K620" s="15" t="s">
        <v>23</v>
      </c>
    </row>
    <row r="621" spans="1:11" ht="42" customHeight="1">
      <c r="A621" s="4" t="s">
        <v>1657</v>
      </c>
      <c r="B621" s="5" t="s">
        <v>1658</v>
      </c>
      <c r="C621" s="5" t="s">
        <v>26</v>
      </c>
      <c r="D621" s="5" t="s">
        <v>27</v>
      </c>
      <c r="E621" s="5" t="s">
        <v>88</v>
      </c>
      <c r="F621" s="9">
        <v>18</v>
      </c>
      <c r="G621" s="9">
        <v>188</v>
      </c>
      <c r="H621" s="5" t="s">
        <v>21</v>
      </c>
      <c r="I621" s="5" t="s">
        <v>1659</v>
      </c>
      <c r="J621" s="12" t="str">
        <f>HYPERLINK("https://www.boe.es/gazeta/dias/1803/03/04/pdfs/GMD-1803-18.pdf#page=8","Abrir facsímil")</f>
        <v>Abrir facsímil</v>
      </c>
      <c r="K621" s="15" t="s">
        <v>23</v>
      </c>
    </row>
    <row r="622" spans="1:11" ht="42" customHeight="1">
      <c r="A622" s="4" t="s">
        <v>1660</v>
      </c>
      <c r="B622" s="5" t="s">
        <v>1661</v>
      </c>
      <c r="C622" s="5" t="s">
        <v>51</v>
      </c>
      <c r="D622" s="5" t="s">
        <v>52</v>
      </c>
      <c r="E622" s="5" t="s">
        <v>910</v>
      </c>
      <c r="F622" s="9">
        <v>66</v>
      </c>
      <c r="G622" s="9">
        <v>720</v>
      </c>
      <c r="H622" s="5" t="s">
        <v>21</v>
      </c>
      <c r="I622" s="5" t="s">
        <v>1662</v>
      </c>
      <c r="J622" s="12" t="str">
        <f>HYPERLINK("https://www.boe.es/gazeta/dias/1803/08/19/pdfs/GMD-1803-66.pdf#page=8","Abrir facsímil")</f>
        <v>Abrir facsímil</v>
      </c>
      <c r="K622" s="15" t="s">
        <v>23</v>
      </c>
    </row>
    <row r="623" spans="1:11" ht="42" customHeight="1">
      <c r="A623" s="4" t="s">
        <v>1663</v>
      </c>
      <c r="B623" s="5" t="s">
        <v>1664</v>
      </c>
      <c r="C623" s="5" t="s">
        <v>26</v>
      </c>
      <c r="D623" s="5" t="s">
        <v>27</v>
      </c>
      <c r="E623" s="5" t="s">
        <v>203</v>
      </c>
      <c r="F623" s="9">
        <v>32</v>
      </c>
      <c r="G623" s="9">
        <v>337</v>
      </c>
      <c r="H623" s="5" t="s">
        <v>21</v>
      </c>
      <c r="I623" s="5" t="s">
        <v>1665</v>
      </c>
      <c r="J623" s="12" t="str">
        <f>HYPERLINK("https://www.boe.es/gazeta/dias/1803/04/22/pdfs/GMD-1803-32.pdf#page=9","Abrir facsímil")</f>
        <v>Abrir facsímil</v>
      </c>
      <c r="K623" s="15" t="s">
        <v>23</v>
      </c>
    </row>
    <row r="624" spans="1:11" ht="42" customHeight="1">
      <c r="A624" s="4" t="s">
        <v>1666</v>
      </c>
      <c r="B624" s="5" t="s">
        <v>1667</v>
      </c>
      <c r="C624" s="5" t="s">
        <v>26</v>
      </c>
      <c r="D624" s="5" t="s">
        <v>27</v>
      </c>
      <c r="E624" s="5" t="s">
        <v>32</v>
      </c>
      <c r="F624" s="9">
        <v>74</v>
      </c>
      <c r="G624" s="9">
        <v>802</v>
      </c>
      <c r="H624" s="5" t="s">
        <v>21</v>
      </c>
      <c r="I624" s="5" t="s">
        <v>1668</v>
      </c>
      <c r="J624" s="12" t="str">
        <f>HYPERLINK("https://www.boe.es/gazeta/dias/1803/09/13/pdfs/GMD-1803-74.pdf#page=6","Abrir facsímil")</f>
        <v>Abrir facsímil</v>
      </c>
      <c r="K624" s="15" t="s">
        <v>23</v>
      </c>
    </row>
    <row r="625" spans="1:11" ht="42" customHeight="1">
      <c r="A625" s="4" t="s">
        <v>1669</v>
      </c>
      <c r="B625" s="5" t="s">
        <v>1670</v>
      </c>
      <c r="C625" s="5" t="s">
        <v>40</v>
      </c>
      <c r="D625" s="5" t="s">
        <v>41</v>
      </c>
      <c r="E625" s="5" t="s">
        <v>361</v>
      </c>
      <c r="F625" s="9">
        <v>62</v>
      </c>
      <c r="G625" s="9">
        <v>675</v>
      </c>
      <c r="H625" s="5" t="s">
        <v>21</v>
      </c>
      <c r="I625" s="5" t="s">
        <v>1671</v>
      </c>
      <c r="J625" s="12" t="str">
        <f>HYPERLINK("https://www.boe.es/gazeta/dias/1803/08/05/pdfs/GMD-1803-62.pdf#page=7","Abrir facsímil")</f>
        <v>Abrir facsímil</v>
      </c>
      <c r="K625" s="15" t="s">
        <v>23</v>
      </c>
    </row>
    <row r="626" spans="1:11" ht="42" customHeight="1">
      <c r="A626" s="4" t="s">
        <v>1672</v>
      </c>
      <c r="B626" s="5" t="s">
        <v>1673</v>
      </c>
      <c r="C626" s="5" t="s">
        <v>18</v>
      </c>
      <c r="D626" s="5" t="s">
        <v>19</v>
      </c>
      <c r="E626" s="5" t="s">
        <v>148</v>
      </c>
      <c r="F626" s="9">
        <v>15</v>
      </c>
      <c r="G626" s="9">
        <v>156</v>
      </c>
      <c r="H626" s="5" t="s">
        <v>21</v>
      </c>
      <c r="I626" s="5" t="s">
        <v>1674</v>
      </c>
      <c r="J626" s="12" t="str">
        <f>HYPERLINK("https://www.boe.es/gazeta/dias/1803/02/22/pdfs/GMD-1803-15.pdf#page=8","Abrir facsímil")</f>
        <v>Abrir facsímil</v>
      </c>
      <c r="K626" s="15" t="s">
        <v>23</v>
      </c>
    </row>
    <row r="627" spans="1:11" ht="42" customHeight="1">
      <c r="A627" s="4" t="s">
        <v>1675</v>
      </c>
      <c r="B627" s="5" t="s">
        <v>1676</v>
      </c>
      <c r="C627" s="5" t="s">
        <v>26</v>
      </c>
      <c r="D627" s="5" t="s">
        <v>27</v>
      </c>
      <c r="E627" s="5" t="s">
        <v>300</v>
      </c>
      <c r="F627" s="9">
        <v>96</v>
      </c>
      <c r="G627" s="9">
        <v>1033</v>
      </c>
      <c r="H627" s="5" t="s">
        <v>21</v>
      </c>
      <c r="I627" s="5" t="s">
        <v>1677</v>
      </c>
      <c r="J627" s="12" t="str">
        <f>HYPERLINK("https://www.boe.es/gazeta/dias/1803/11/29/pdfs/GMD-1803-96.pdf#page=9","Abrir facsímil")</f>
        <v>Abrir facsímil</v>
      </c>
      <c r="K627" s="15" t="s">
        <v>23</v>
      </c>
    </row>
    <row r="628" spans="1:11" ht="42" customHeight="1">
      <c r="A628" s="4" t="s">
        <v>1678</v>
      </c>
      <c r="B628" s="5" t="s">
        <v>1678</v>
      </c>
      <c r="C628" s="5" t="s">
        <v>40</v>
      </c>
      <c r="D628" s="5" t="s">
        <v>41</v>
      </c>
      <c r="E628" s="5" t="s">
        <v>321</v>
      </c>
      <c r="F628" s="9">
        <v>94</v>
      </c>
      <c r="G628" s="9">
        <v>1008</v>
      </c>
      <c r="H628" s="5" t="s">
        <v>21</v>
      </c>
      <c r="I628" s="5" t="s">
        <v>1679</v>
      </c>
      <c r="J628" s="12" t="str">
        <f>HYPERLINK("https://www.boe.es/gazeta/dias/1803/11/22/pdfs/GMD-1803-94.pdf#page=8","Abrir facsímil")</f>
        <v>Abrir facsímil</v>
      </c>
      <c r="K628" s="15" t="s">
        <v>23</v>
      </c>
    </row>
    <row r="629" spans="1:11" ht="42" customHeight="1">
      <c r="A629" s="4" t="s">
        <v>1680</v>
      </c>
      <c r="B629" s="5" t="s">
        <v>1681</v>
      </c>
      <c r="C629" s="5" t="s">
        <v>26</v>
      </c>
      <c r="D629" s="5" t="s">
        <v>27</v>
      </c>
      <c r="E629" s="5" t="s">
        <v>300</v>
      </c>
      <c r="F629" s="9">
        <v>96</v>
      </c>
      <c r="G629" s="9">
        <v>1034</v>
      </c>
      <c r="H629" s="5" t="s">
        <v>21</v>
      </c>
      <c r="I629" s="5" t="s">
        <v>1682</v>
      </c>
      <c r="J629" s="12" t="str">
        <f>HYPERLINK("https://www.boe.es/gazeta/dias/1803/11/29/pdfs/GMD-1803-96.pdf#page=10","Abrir facsímil")</f>
        <v>Abrir facsímil</v>
      </c>
      <c r="K629" s="15" t="s">
        <v>23</v>
      </c>
    </row>
    <row r="630" spans="1:11" ht="42" customHeight="1">
      <c r="A630" s="4" t="s">
        <v>1683</v>
      </c>
      <c r="B630" s="5" t="s">
        <v>1684</v>
      </c>
      <c r="C630" s="5" t="s">
        <v>26</v>
      </c>
      <c r="D630" s="5" t="s">
        <v>27</v>
      </c>
      <c r="E630" s="5" t="s">
        <v>207</v>
      </c>
      <c r="F630" s="9">
        <v>27</v>
      </c>
      <c r="G630" s="9">
        <v>293</v>
      </c>
      <c r="H630" s="5" t="s">
        <v>21</v>
      </c>
      <c r="I630" s="5" t="s">
        <v>1685</v>
      </c>
      <c r="J630" s="12" t="str">
        <f>HYPERLINK("https://www.boe.es/gazeta/dias/1803/04/05/pdfs/GMD-1803-27.pdf#page=9","Abrir facsímil")</f>
        <v>Abrir facsímil</v>
      </c>
      <c r="K630" s="15" t="s">
        <v>23</v>
      </c>
    </row>
    <row r="631" spans="1:11" ht="42" customHeight="1">
      <c r="A631" s="4" t="s">
        <v>1683</v>
      </c>
      <c r="B631" s="5" t="s">
        <v>1684</v>
      </c>
      <c r="C631" s="5" t="s">
        <v>26</v>
      </c>
      <c r="D631" s="5" t="s">
        <v>27</v>
      </c>
      <c r="E631" s="5" t="s">
        <v>619</v>
      </c>
      <c r="F631" s="9">
        <v>53</v>
      </c>
      <c r="G631" s="9">
        <v>579</v>
      </c>
      <c r="H631" s="5" t="s">
        <v>21</v>
      </c>
      <c r="I631" s="5" t="s">
        <v>1686</v>
      </c>
      <c r="J631" s="12" t="str">
        <f>HYPERLINK("https://www.boe.es/gazeta/dias/1803/07/05/pdfs/GMD-1803-53.pdf#page=11","Abrir facsímil")</f>
        <v>Abrir facsímil</v>
      </c>
      <c r="K631" s="15" t="s">
        <v>23</v>
      </c>
    </row>
    <row r="632" spans="1:11" ht="42" customHeight="1">
      <c r="A632" s="4" t="s">
        <v>1687</v>
      </c>
      <c r="B632" s="5" t="s">
        <v>1688</v>
      </c>
      <c r="C632" s="5" t="s">
        <v>26</v>
      </c>
      <c r="D632" s="5" t="s">
        <v>27</v>
      </c>
      <c r="E632" s="5" t="s">
        <v>156</v>
      </c>
      <c r="F632" s="9">
        <v>2</v>
      </c>
      <c r="G632" s="9">
        <v>17</v>
      </c>
      <c r="H632" s="5" t="s">
        <v>21</v>
      </c>
      <c r="I632" s="5" t="s">
        <v>1689</v>
      </c>
      <c r="J632" s="12" t="str">
        <f>HYPERLINK("https://www.boe.es/gazeta/dias/1803/01/07/pdfs/GMD-1803-2.pdf#page=9","Abrir facsímil")</f>
        <v>Abrir facsímil</v>
      </c>
      <c r="K632" s="15" t="s">
        <v>23</v>
      </c>
    </row>
    <row r="633" spans="1:11" ht="42" customHeight="1">
      <c r="A633" s="4" t="s">
        <v>1690</v>
      </c>
      <c r="B633" s="5" t="s">
        <v>1691</v>
      </c>
      <c r="C633" s="5" t="s">
        <v>40</v>
      </c>
      <c r="D633" s="5" t="s">
        <v>41</v>
      </c>
      <c r="E633" s="5" t="s">
        <v>132</v>
      </c>
      <c r="F633" s="9">
        <v>58</v>
      </c>
      <c r="G633" s="9">
        <v>632</v>
      </c>
      <c r="H633" s="5" t="s">
        <v>21</v>
      </c>
      <c r="I633" s="5" t="s">
        <v>1692</v>
      </c>
      <c r="J633" s="12" t="str">
        <f>HYPERLINK("https://www.boe.es/gazeta/dias/1803/07/22/pdfs/GMD-1803-58.pdf#page=4","Abrir facsímil")</f>
        <v>Abrir facsímil</v>
      </c>
      <c r="K633" s="15" t="s">
        <v>23</v>
      </c>
    </row>
    <row r="634" spans="1:11" ht="42" customHeight="1">
      <c r="A634" s="4" t="s">
        <v>1693</v>
      </c>
      <c r="B634" s="5" t="s">
        <v>1694</v>
      </c>
      <c r="C634" s="5" t="s">
        <v>26</v>
      </c>
      <c r="D634" s="5" t="s">
        <v>27</v>
      </c>
      <c r="E634" s="5" t="s">
        <v>477</v>
      </c>
      <c r="F634" s="9">
        <v>48</v>
      </c>
      <c r="G634" s="9">
        <v>510</v>
      </c>
      <c r="H634" s="5" t="s">
        <v>21</v>
      </c>
      <c r="I634" s="5" t="s">
        <v>1695</v>
      </c>
      <c r="J634" s="12" t="str">
        <f>HYPERLINK("https://www.boe.es/gazeta/dias/1803/06/17/pdfs/GMD-1803-48.pdf#page=10","Abrir facsímil")</f>
        <v>Abrir facsímil</v>
      </c>
      <c r="K634" s="15" t="s">
        <v>23</v>
      </c>
    </row>
    <row r="635" spans="1:11" ht="42" customHeight="1">
      <c r="A635" s="4" t="s">
        <v>1696</v>
      </c>
      <c r="B635" s="5" t="s">
        <v>1697</v>
      </c>
      <c r="C635" s="5" t="s">
        <v>26</v>
      </c>
      <c r="D635" s="5" t="s">
        <v>27</v>
      </c>
      <c r="E635" s="5" t="s">
        <v>71</v>
      </c>
      <c r="F635" s="9">
        <v>39</v>
      </c>
      <c r="G635" s="9">
        <v>412</v>
      </c>
      <c r="H635" s="5" t="s">
        <v>21</v>
      </c>
      <c r="I635" s="5" t="s">
        <v>1698</v>
      </c>
      <c r="J635" s="12" t="str">
        <f>HYPERLINK("https://www.boe.es/gazeta/dias/1803/05/17/pdfs/GMD-1803-39.pdf#page=8","Abrir facsímil")</f>
        <v>Abrir facsímil</v>
      </c>
      <c r="K635" s="15" t="s">
        <v>23</v>
      </c>
    </row>
    <row r="636" spans="1:11" ht="42" customHeight="1">
      <c r="A636" s="4" t="s">
        <v>1699</v>
      </c>
      <c r="B636" s="5" t="s">
        <v>1700</v>
      </c>
      <c r="C636" s="5" t="s">
        <v>18</v>
      </c>
      <c r="D636" s="5" t="s">
        <v>19</v>
      </c>
      <c r="E636" s="5" t="s">
        <v>124</v>
      </c>
      <c r="F636" s="9">
        <v>20</v>
      </c>
      <c r="G636" s="9">
        <v>209</v>
      </c>
      <c r="H636" s="5" t="s">
        <v>21</v>
      </c>
      <c r="I636" s="5" t="s">
        <v>1701</v>
      </c>
      <c r="J636" s="12" t="str">
        <f>HYPERLINK("https://www.boe.es/gazeta/dias/1803/03/11/pdfs/GMD-1803-20.pdf#page=5","Abrir facsímil")</f>
        <v>Abrir facsímil</v>
      </c>
      <c r="K636" s="15" t="s">
        <v>23</v>
      </c>
    </row>
    <row r="637" spans="1:11" ht="42" customHeight="1">
      <c r="A637" s="4" t="s">
        <v>1699</v>
      </c>
      <c r="B637" s="5" t="s">
        <v>1700</v>
      </c>
      <c r="C637" s="5" t="s">
        <v>26</v>
      </c>
      <c r="D637" s="5" t="s">
        <v>27</v>
      </c>
      <c r="E637" s="5" t="s">
        <v>83</v>
      </c>
      <c r="F637" s="9">
        <v>28</v>
      </c>
      <c r="G637" s="9">
        <v>303</v>
      </c>
      <c r="H637" s="5" t="s">
        <v>21</v>
      </c>
      <c r="I637" s="5" t="s">
        <v>1702</v>
      </c>
      <c r="J637" s="12" t="str">
        <f>HYPERLINK("https://www.boe.es/gazeta/dias/1803/04/08/pdfs/GMD-1803-28.pdf#page=7","Abrir facsímil")</f>
        <v>Abrir facsímil</v>
      </c>
      <c r="K637" s="15" t="s">
        <v>23</v>
      </c>
    </row>
    <row r="638" spans="1:11" ht="42" customHeight="1">
      <c r="A638" s="4" t="s">
        <v>1703</v>
      </c>
      <c r="B638" s="5" t="s">
        <v>1704</v>
      </c>
      <c r="C638" s="5" t="s">
        <v>46</v>
      </c>
      <c r="D638" s="5" t="s">
        <v>19</v>
      </c>
      <c r="E638" s="5" t="s">
        <v>555</v>
      </c>
      <c r="F638" s="9">
        <v>83</v>
      </c>
      <c r="G638" s="9">
        <v>894</v>
      </c>
      <c r="H638" s="5" t="s">
        <v>21</v>
      </c>
      <c r="I638" s="5" t="s">
        <v>1705</v>
      </c>
      <c r="J638" s="12" t="str">
        <f>HYPERLINK("https://www.boe.es/gazeta/dias/1803/10/14/pdfs/GMD-1803-83.pdf#page=6","Abrir facsímil")</f>
        <v>Abrir facsímil</v>
      </c>
      <c r="K638" s="15" t="s">
        <v>23</v>
      </c>
    </row>
    <row r="639" spans="1:11" ht="42" customHeight="1">
      <c r="A639" s="4" t="s">
        <v>1706</v>
      </c>
      <c r="B639" s="5" t="s">
        <v>1707</v>
      </c>
      <c r="C639" s="5" t="s">
        <v>80</v>
      </c>
      <c r="D639" s="5" t="s">
        <v>81</v>
      </c>
      <c r="E639" s="5" t="s">
        <v>199</v>
      </c>
      <c r="F639" s="9">
        <v>88</v>
      </c>
      <c r="G639" s="9">
        <v>947</v>
      </c>
      <c r="H639" s="5" t="s">
        <v>21</v>
      </c>
      <c r="I639" s="5" t="s">
        <v>1708</v>
      </c>
      <c r="J639" s="12" t="str">
        <f>HYPERLINK("https://www.boe.es/gazeta/dias/1803/11/01/pdfs/GMD-1803-88.pdf#page=7","Abrir facsímil")</f>
        <v>Abrir facsímil</v>
      </c>
      <c r="K639" s="15" t="s">
        <v>23</v>
      </c>
    </row>
    <row r="640" spans="1:11" ht="42" customHeight="1">
      <c r="A640" s="4" t="s">
        <v>1709</v>
      </c>
      <c r="B640" s="5" t="s">
        <v>1710</v>
      </c>
      <c r="C640" s="5" t="s">
        <v>26</v>
      </c>
      <c r="D640" s="5" t="s">
        <v>27</v>
      </c>
      <c r="E640" s="5" t="s">
        <v>514</v>
      </c>
      <c r="F640" s="9">
        <v>42</v>
      </c>
      <c r="G640" s="9">
        <v>439</v>
      </c>
      <c r="H640" s="5" t="s">
        <v>21</v>
      </c>
      <c r="I640" s="5" t="s">
        <v>1711</v>
      </c>
      <c r="J640" s="12" t="str">
        <f>HYPERLINK("https://www.boe.es/gazeta/dias/1803/05/27/pdfs/GMD-1803-42.pdf#page=7","Abrir facsímil")</f>
        <v>Abrir facsímil</v>
      </c>
      <c r="K640" s="15" t="s">
        <v>23</v>
      </c>
    </row>
    <row r="641" spans="1:11" ht="42" customHeight="1">
      <c r="A641" s="4" t="s">
        <v>1712</v>
      </c>
      <c r="B641" s="5" t="s">
        <v>1713</v>
      </c>
      <c r="C641" s="5" t="s">
        <v>51</v>
      </c>
      <c r="D641" s="5" t="s">
        <v>52</v>
      </c>
      <c r="E641" s="5" t="s">
        <v>85</v>
      </c>
      <c r="F641" s="9">
        <v>49</v>
      </c>
      <c r="G641" s="9">
        <v>522</v>
      </c>
      <c r="H641" s="5" t="s">
        <v>21</v>
      </c>
      <c r="I641" s="5" t="s">
        <v>1714</v>
      </c>
      <c r="J641" s="12" t="str">
        <f>HYPERLINK("https://www.boe.es/gazeta/dias/1803/06/21/pdfs/GMD-1803-49.pdf#page=10","Abrir facsímil")</f>
        <v>Abrir facsímil</v>
      </c>
      <c r="K641" s="15" t="s">
        <v>23</v>
      </c>
    </row>
    <row r="642" spans="1:11" ht="42" customHeight="1">
      <c r="A642" s="4" t="s">
        <v>1715</v>
      </c>
      <c r="B642" s="5" t="s">
        <v>1716</v>
      </c>
      <c r="C642" s="5" t="s">
        <v>40</v>
      </c>
      <c r="D642" s="5" t="s">
        <v>41</v>
      </c>
      <c r="E642" s="5" t="s">
        <v>726</v>
      </c>
      <c r="F642" s="9">
        <v>78</v>
      </c>
      <c r="G642" s="9">
        <v>842</v>
      </c>
      <c r="H642" s="5" t="s">
        <v>21</v>
      </c>
      <c r="I642" s="5" t="s">
        <v>1717</v>
      </c>
      <c r="J642" s="12" t="str">
        <f>HYPERLINK("https://www.boe.es/gazeta/dias/1803/09/27/pdfs/GMD-1803-78.pdf#page=6","Abrir facsímil")</f>
        <v>Abrir facsímil</v>
      </c>
      <c r="K642" s="15" t="s">
        <v>23</v>
      </c>
    </row>
    <row r="643" spans="1:11" ht="42" customHeight="1">
      <c r="A643" s="4" t="s">
        <v>1718</v>
      </c>
      <c r="B643" s="5" t="s">
        <v>1718</v>
      </c>
      <c r="C643" s="5" t="s">
        <v>26</v>
      </c>
      <c r="D643" s="5" t="s">
        <v>27</v>
      </c>
      <c r="E643" s="5" t="s">
        <v>36</v>
      </c>
      <c r="F643" s="9">
        <v>79</v>
      </c>
      <c r="G643" s="9">
        <v>854</v>
      </c>
      <c r="H643" s="5" t="s">
        <v>21</v>
      </c>
      <c r="I643" s="5" t="s">
        <v>1719</v>
      </c>
      <c r="J643" s="12" t="str">
        <f>HYPERLINK("https://www.boe.es/gazeta/dias/1803/09/30/pdfs/GMD-1803-79.pdf#page=6","Abrir facsímil")</f>
        <v>Abrir facsímil</v>
      </c>
      <c r="K643" s="15" t="s">
        <v>23</v>
      </c>
    </row>
    <row r="644" spans="1:11" ht="42" customHeight="1">
      <c r="A644" s="4" t="s">
        <v>1720</v>
      </c>
      <c r="B644" s="5" t="s">
        <v>1720</v>
      </c>
      <c r="C644" s="5" t="s">
        <v>26</v>
      </c>
      <c r="D644" s="5" t="s">
        <v>27</v>
      </c>
      <c r="E644" s="5" t="s">
        <v>439</v>
      </c>
      <c r="F644" s="9">
        <v>76</v>
      </c>
      <c r="G644" s="9">
        <v>823</v>
      </c>
      <c r="H644" s="5" t="s">
        <v>21</v>
      </c>
      <c r="I644" s="5" t="s">
        <v>1721</v>
      </c>
      <c r="J644" s="12" t="str">
        <f>HYPERLINK("https://www.boe.es/gazeta/dias/1803/09/20/pdfs/GMD-1803-76.pdf#page=11","Abrir facsímil")</f>
        <v>Abrir facsímil</v>
      </c>
      <c r="K644" s="15" t="s">
        <v>23</v>
      </c>
    </row>
    <row r="645" spans="1:11" ht="42" customHeight="1">
      <c r="A645" s="4" t="s">
        <v>1720</v>
      </c>
      <c r="B645" s="5" t="s">
        <v>1720</v>
      </c>
      <c r="C645" s="5" t="s">
        <v>26</v>
      </c>
      <c r="D645" s="5" t="s">
        <v>27</v>
      </c>
      <c r="E645" s="5" t="s">
        <v>164</v>
      </c>
      <c r="F645" s="9">
        <v>84</v>
      </c>
      <c r="G645" s="9">
        <v>904</v>
      </c>
      <c r="H645" s="5" t="s">
        <v>21</v>
      </c>
      <c r="I645" s="5" t="s">
        <v>1722</v>
      </c>
      <c r="J645" s="12" t="str">
        <f>HYPERLINK("https://www.boe.es/gazeta/dias/1803/10/18/pdfs/GMD-1803-84.pdf#page=8","Abrir facsímil")</f>
        <v>Abrir facsímil</v>
      </c>
      <c r="K645" s="15" t="s">
        <v>23</v>
      </c>
    </row>
    <row r="646" spans="1:11" ht="42" customHeight="1">
      <c r="A646" s="4" t="s">
        <v>1723</v>
      </c>
      <c r="B646" s="5" t="s">
        <v>1723</v>
      </c>
      <c r="C646" s="5" t="s">
        <v>18</v>
      </c>
      <c r="D646" s="5" t="s">
        <v>19</v>
      </c>
      <c r="E646" s="5" t="s">
        <v>300</v>
      </c>
      <c r="F646" s="9">
        <v>96</v>
      </c>
      <c r="G646" s="9">
        <v>1033</v>
      </c>
      <c r="H646" s="5" t="s">
        <v>21</v>
      </c>
      <c r="I646" s="5" t="s">
        <v>1724</v>
      </c>
      <c r="J646" s="12" t="str">
        <f>HYPERLINK("https://www.boe.es/gazeta/dias/1803/11/29/pdfs/GMD-1803-96.pdf#page=9","Abrir facsímil")</f>
        <v>Abrir facsímil</v>
      </c>
      <c r="K646" s="15" t="s">
        <v>23</v>
      </c>
    </row>
    <row r="647" spans="1:11" ht="42" customHeight="1">
      <c r="A647" s="4" t="s">
        <v>1725</v>
      </c>
      <c r="B647" s="5" t="s">
        <v>1726</v>
      </c>
      <c r="C647" s="5" t="s">
        <v>26</v>
      </c>
      <c r="D647" s="5" t="s">
        <v>27</v>
      </c>
      <c r="E647" s="5" t="s">
        <v>199</v>
      </c>
      <c r="F647" s="9">
        <v>88</v>
      </c>
      <c r="G647" s="9">
        <v>947</v>
      </c>
      <c r="H647" s="5" t="s">
        <v>21</v>
      </c>
      <c r="I647" s="5" t="s">
        <v>1727</v>
      </c>
      <c r="J647" s="12" t="str">
        <f>HYPERLINK("https://www.boe.es/gazeta/dias/1803/11/01/pdfs/GMD-1803-88.pdf#page=7","Abrir facsímil")</f>
        <v>Abrir facsímil</v>
      </c>
      <c r="K647" s="15" t="s">
        <v>23</v>
      </c>
    </row>
    <row r="648" spans="1:11" ht="42" customHeight="1">
      <c r="A648" s="4" t="s">
        <v>1728</v>
      </c>
      <c r="B648" s="5" t="s">
        <v>1729</v>
      </c>
      <c r="C648" s="5" t="s">
        <v>51</v>
      </c>
      <c r="D648" s="5" t="s">
        <v>52</v>
      </c>
      <c r="E648" s="5" t="s">
        <v>174</v>
      </c>
      <c r="F648" s="9">
        <v>21</v>
      </c>
      <c r="G648" s="9">
        <v>225</v>
      </c>
      <c r="H648" s="5" t="s">
        <v>21</v>
      </c>
      <c r="I648" s="5" t="s">
        <v>1730</v>
      </c>
      <c r="J648" s="12" t="str">
        <f>HYPERLINK("https://www.boe.es/gazeta/dias/1803/03/15/pdfs/GMD-1803-21.pdf#page=9","Abrir facsímil")</f>
        <v>Abrir facsímil</v>
      </c>
      <c r="K648" s="15" t="s">
        <v>23</v>
      </c>
    </row>
    <row r="649" spans="1:11" ht="42" customHeight="1">
      <c r="A649" s="4" t="s">
        <v>1728</v>
      </c>
      <c r="B649" s="5" t="s">
        <v>1729</v>
      </c>
      <c r="C649" s="5" t="s">
        <v>225</v>
      </c>
      <c r="D649" s="5" t="s">
        <v>226</v>
      </c>
      <c r="E649" s="5" t="s">
        <v>609</v>
      </c>
      <c r="F649" s="9">
        <v>57</v>
      </c>
      <c r="G649" s="9">
        <v>622</v>
      </c>
      <c r="H649" s="5" t="s">
        <v>21</v>
      </c>
      <c r="I649" s="5" t="s">
        <v>1731</v>
      </c>
      <c r="J649" s="12" t="str">
        <f>HYPERLINK("https://www.boe.es/gazeta/dias/1803/07/19/pdfs/GMD-C-1803-57.pdf#page=2","Abrir facsímil")</f>
        <v>Abrir facsímil</v>
      </c>
      <c r="K649" s="15" t="s">
        <v>23</v>
      </c>
    </row>
    <row r="650" spans="1:11" ht="42" customHeight="1">
      <c r="A650" s="4" t="s">
        <v>1732</v>
      </c>
      <c r="B650" s="5" t="s">
        <v>1733</v>
      </c>
      <c r="C650" s="5" t="s">
        <v>18</v>
      </c>
      <c r="D650" s="5" t="s">
        <v>19</v>
      </c>
      <c r="E650" s="5" t="s">
        <v>523</v>
      </c>
      <c r="F650" s="9">
        <v>101</v>
      </c>
      <c r="G650" s="9">
        <v>1086</v>
      </c>
      <c r="H650" s="5" t="s">
        <v>21</v>
      </c>
      <c r="I650" s="5" t="s">
        <v>1734</v>
      </c>
      <c r="J650" s="12" t="str">
        <f>HYPERLINK("https://www.boe.es/gazeta/dias/1803/12/16/pdfs/GMD-1803-101.pdf#page=10","Abrir facsímil")</f>
        <v>Abrir facsímil</v>
      </c>
      <c r="K650" s="15" t="s">
        <v>23</v>
      </c>
    </row>
    <row r="651" spans="1:11" ht="42" customHeight="1">
      <c r="A651" s="4" t="s">
        <v>1735</v>
      </c>
      <c r="B651" s="5" t="s">
        <v>1736</v>
      </c>
      <c r="C651" s="5" t="s">
        <v>26</v>
      </c>
      <c r="D651" s="5" t="s">
        <v>27</v>
      </c>
      <c r="E651" s="5" t="s">
        <v>258</v>
      </c>
      <c r="F651" s="9">
        <v>7</v>
      </c>
      <c r="G651" s="9">
        <v>70</v>
      </c>
      <c r="H651" s="5" t="s">
        <v>21</v>
      </c>
      <c r="I651" s="5" t="s">
        <v>1737</v>
      </c>
      <c r="J651" s="12" t="str">
        <f>HYPERLINK("https://www.boe.es/gazeta/dias/1803/01/25/pdfs/GMD-1803-7.pdf#page=10","Abrir facsímil")</f>
        <v>Abrir facsímil</v>
      </c>
      <c r="K651" s="15" t="s">
        <v>23</v>
      </c>
    </row>
    <row r="652" spans="1:11" ht="42" customHeight="1">
      <c r="A652" s="4" t="s">
        <v>1738</v>
      </c>
      <c r="B652" s="5" t="s">
        <v>1739</v>
      </c>
      <c r="C652" s="5" t="s">
        <v>51</v>
      </c>
      <c r="D652" s="5" t="s">
        <v>52</v>
      </c>
      <c r="E652" s="5" t="s">
        <v>657</v>
      </c>
      <c r="F652" s="9">
        <v>24</v>
      </c>
      <c r="G652" s="9">
        <v>259</v>
      </c>
      <c r="H652" s="5" t="s">
        <v>21</v>
      </c>
      <c r="I652" s="5" t="s">
        <v>1740</v>
      </c>
      <c r="J652" s="12" t="str">
        <f>HYPERLINK("https://www.boe.es/gazeta/dias/1803/03/25/pdfs/GMD-1803-24.pdf#page=11","Abrir facsímil")</f>
        <v>Abrir facsímil</v>
      </c>
      <c r="K652" s="15" t="s">
        <v>23</v>
      </c>
    </row>
    <row r="653" spans="1:11" ht="42" customHeight="1">
      <c r="A653" s="4" t="s">
        <v>1741</v>
      </c>
      <c r="B653" s="5" t="s">
        <v>1742</v>
      </c>
      <c r="C653" s="5" t="s">
        <v>26</v>
      </c>
      <c r="D653" s="5" t="s">
        <v>27</v>
      </c>
      <c r="E653" s="5" t="s">
        <v>555</v>
      </c>
      <c r="F653" s="9">
        <v>83</v>
      </c>
      <c r="G653" s="9">
        <v>895</v>
      </c>
      <c r="H653" s="5" t="s">
        <v>21</v>
      </c>
      <c r="I653" s="5" t="s">
        <v>1743</v>
      </c>
      <c r="J653" s="12" t="str">
        <f>HYPERLINK("https://www.boe.es/gazeta/dias/1803/10/14/pdfs/GMD-1803-83.pdf#page=7","Abrir facsímil")</f>
        <v>Abrir facsímil</v>
      </c>
      <c r="K653" s="15" t="s">
        <v>23</v>
      </c>
    </row>
    <row r="654" spans="1:11" ht="42" customHeight="1">
      <c r="A654" s="4" t="s">
        <v>1744</v>
      </c>
      <c r="B654" s="5" t="s">
        <v>1745</v>
      </c>
      <c r="C654" s="5" t="s">
        <v>51</v>
      </c>
      <c r="D654" s="5" t="s">
        <v>52</v>
      </c>
      <c r="E654" s="5" t="s">
        <v>36</v>
      </c>
      <c r="F654" s="9">
        <v>79</v>
      </c>
      <c r="G654" s="9">
        <v>856</v>
      </c>
      <c r="H654" s="5" t="s">
        <v>21</v>
      </c>
      <c r="I654" s="5" t="s">
        <v>1746</v>
      </c>
      <c r="J654" s="12" t="str">
        <f>HYPERLINK("https://www.boe.es/gazeta/dias/1803/09/30/pdfs/GMD-1803-79.pdf#page=8","Abrir facsímil")</f>
        <v>Abrir facsímil</v>
      </c>
      <c r="K654" s="15" t="s">
        <v>23</v>
      </c>
    </row>
    <row r="655" spans="1:11" ht="42" customHeight="1">
      <c r="A655" s="4" t="s">
        <v>1747</v>
      </c>
      <c r="B655" s="5" t="s">
        <v>1748</v>
      </c>
      <c r="C655" s="5" t="s">
        <v>26</v>
      </c>
      <c r="D655" s="5" t="s">
        <v>27</v>
      </c>
      <c r="E655" s="5" t="s">
        <v>71</v>
      </c>
      <c r="F655" s="9">
        <v>39</v>
      </c>
      <c r="G655" s="9">
        <v>412</v>
      </c>
      <c r="H655" s="5" t="s">
        <v>21</v>
      </c>
      <c r="I655" s="5" t="s">
        <v>1749</v>
      </c>
      <c r="J655" s="12" t="str">
        <f>HYPERLINK("https://www.boe.es/gazeta/dias/1803/05/17/pdfs/GMD-1803-39.pdf#page=8","Abrir facsímil")</f>
        <v>Abrir facsímil</v>
      </c>
      <c r="K655" s="15" t="s">
        <v>23</v>
      </c>
    </row>
    <row r="656" spans="1:11" ht="42" customHeight="1">
      <c r="A656" s="4" t="s">
        <v>1750</v>
      </c>
      <c r="B656" s="5" t="s">
        <v>1751</v>
      </c>
      <c r="C656" s="5" t="s">
        <v>18</v>
      </c>
      <c r="D656" s="5" t="s">
        <v>19</v>
      </c>
      <c r="E656" s="5" t="s">
        <v>417</v>
      </c>
      <c r="F656" s="9">
        <v>72</v>
      </c>
      <c r="G656" s="9">
        <v>786</v>
      </c>
      <c r="H656" s="5" t="s">
        <v>21</v>
      </c>
      <c r="I656" s="5" t="s">
        <v>1752</v>
      </c>
      <c r="J656" s="12" t="str">
        <f>HYPERLINK("https://www.boe.es/gazeta/dias/1803/09/09/pdfs/GMD-1803-72.pdf#page=6","Abrir facsímil")</f>
        <v>Abrir facsímil</v>
      </c>
      <c r="K656" s="15" t="s">
        <v>23</v>
      </c>
    </row>
    <row r="657" spans="1:11" ht="42" customHeight="1">
      <c r="A657" s="4" t="s">
        <v>1753</v>
      </c>
      <c r="B657" s="5" t="s">
        <v>1754</v>
      </c>
      <c r="C657" s="5" t="s">
        <v>51</v>
      </c>
      <c r="D657" s="5" t="s">
        <v>52</v>
      </c>
      <c r="E657" s="5" t="s">
        <v>71</v>
      </c>
      <c r="F657" s="9">
        <v>39</v>
      </c>
      <c r="G657" s="9">
        <v>414</v>
      </c>
      <c r="H657" s="5" t="s">
        <v>21</v>
      </c>
      <c r="I657" s="5" t="s">
        <v>1755</v>
      </c>
      <c r="J657" s="12" t="str">
        <f>HYPERLINK("https://www.boe.es/gazeta/dias/1803/05/17/pdfs/GMD-1803-39.pdf#page=10","Abrir facsímil")</f>
        <v>Abrir facsímil</v>
      </c>
      <c r="K657" s="15" t="s">
        <v>23</v>
      </c>
    </row>
    <row r="658" spans="1:11" ht="42" customHeight="1">
      <c r="A658" s="4" t="s">
        <v>1756</v>
      </c>
      <c r="B658" s="5" t="s">
        <v>1757</v>
      </c>
      <c r="C658" s="5" t="s">
        <v>80</v>
      </c>
      <c r="D658" s="5" t="s">
        <v>81</v>
      </c>
      <c r="E658" s="5" t="s">
        <v>289</v>
      </c>
      <c r="F658" s="9">
        <v>38</v>
      </c>
      <c r="G658" s="9">
        <v>404</v>
      </c>
      <c r="H658" s="5" t="s">
        <v>21</v>
      </c>
      <c r="I658" s="5" t="s">
        <v>1758</v>
      </c>
      <c r="J658" s="12" t="str">
        <f>HYPERLINK("https://www.boe.es/gazeta/dias/1803/05/13/pdfs/GMD-1803-38.pdf#page=12","Abrir facsímil")</f>
        <v>Abrir facsímil</v>
      </c>
      <c r="K658" s="15" t="s">
        <v>23</v>
      </c>
    </row>
    <row r="659" spans="1:11" ht="42" customHeight="1">
      <c r="A659" s="4" t="s">
        <v>1759</v>
      </c>
      <c r="B659" s="5" t="s">
        <v>1760</v>
      </c>
      <c r="C659" s="5" t="s">
        <v>46</v>
      </c>
      <c r="D659" s="5" t="s">
        <v>19</v>
      </c>
      <c r="E659" s="5" t="s">
        <v>160</v>
      </c>
      <c r="F659" s="9">
        <v>81</v>
      </c>
      <c r="G659" s="9">
        <v>875</v>
      </c>
      <c r="H659" s="5" t="s">
        <v>21</v>
      </c>
      <c r="I659" s="5" t="s">
        <v>1761</v>
      </c>
      <c r="J659" s="12" t="str">
        <f>HYPERLINK("https://www.boe.es/gazeta/dias/1803/10/07/pdfs/GMD-1803-81.pdf#page=11","Abrir facsímil")</f>
        <v>Abrir facsímil</v>
      </c>
      <c r="K659" s="15" t="s">
        <v>23</v>
      </c>
    </row>
    <row r="660" spans="1:11" ht="42" customHeight="1">
      <c r="A660" s="4" t="s">
        <v>1762</v>
      </c>
      <c r="B660" s="5" t="s">
        <v>1763</v>
      </c>
      <c r="C660" s="5" t="s">
        <v>26</v>
      </c>
      <c r="D660" s="5" t="s">
        <v>27</v>
      </c>
      <c r="E660" s="5" t="s">
        <v>83</v>
      </c>
      <c r="F660" s="9">
        <v>28</v>
      </c>
      <c r="G660" s="9">
        <v>304</v>
      </c>
      <c r="H660" s="5" t="s">
        <v>21</v>
      </c>
      <c r="I660" s="5" t="s">
        <v>1764</v>
      </c>
      <c r="J660" s="12" t="str">
        <f>HYPERLINK("https://www.boe.es/gazeta/dias/1803/04/08/pdfs/GMD-1803-28.pdf#page=8","Abrir facsímil")</f>
        <v>Abrir facsímil</v>
      </c>
      <c r="K660" s="15" t="s">
        <v>23</v>
      </c>
    </row>
    <row r="661" spans="1:11" ht="42" customHeight="1">
      <c r="A661" s="4" t="s">
        <v>1765</v>
      </c>
      <c r="B661" s="5" t="s">
        <v>1766</v>
      </c>
      <c r="C661" s="5" t="s">
        <v>40</v>
      </c>
      <c r="D661" s="5" t="s">
        <v>41</v>
      </c>
      <c r="E661" s="5" t="s">
        <v>61</v>
      </c>
      <c r="F661" s="9">
        <v>67</v>
      </c>
      <c r="G661" s="9">
        <v>724</v>
      </c>
      <c r="H661" s="5" t="s">
        <v>21</v>
      </c>
      <c r="I661" s="5" t="s">
        <v>1767</v>
      </c>
      <c r="J661" s="12" t="str">
        <f>HYPERLINK("https://www.boe.es/gazeta/dias/1803/08/23/pdfs/GMD-1803-67.pdf#page=4","Abrir facsímil")</f>
        <v>Abrir facsímil</v>
      </c>
      <c r="K661" s="15" t="s">
        <v>23</v>
      </c>
    </row>
    <row r="662" spans="1:11" ht="42" customHeight="1">
      <c r="A662" s="4" t="s">
        <v>1768</v>
      </c>
      <c r="B662" s="5" t="s">
        <v>1769</v>
      </c>
      <c r="C662" s="5" t="s">
        <v>40</v>
      </c>
      <c r="D662" s="5" t="s">
        <v>41</v>
      </c>
      <c r="E662" s="5" t="s">
        <v>439</v>
      </c>
      <c r="F662" s="9">
        <v>76</v>
      </c>
      <c r="G662" s="9">
        <v>816</v>
      </c>
      <c r="H662" s="5" t="s">
        <v>21</v>
      </c>
      <c r="I662" s="5" t="s">
        <v>1770</v>
      </c>
      <c r="J662" s="12" t="str">
        <f>HYPERLINK("https://www.boe.es/gazeta/dias/1803/09/20/pdfs/GMD-1803-76.pdf#page=4","Abrir facsímil")</f>
        <v>Abrir facsímil</v>
      </c>
      <c r="K662" s="15" t="s">
        <v>23</v>
      </c>
    </row>
    <row r="663" spans="1:11" ht="42" customHeight="1">
      <c r="A663" s="4" t="s">
        <v>1768</v>
      </c>
      <c r="B663" s="5" t="s">
        <v>1769</v>
      </c>
      <c r="C663" s="5" t="s">
        <v>26</v>
      </c>
      <c r="D663" s="5" t="s">
        <v>27</v>
      </c>
      <c r="E663" s="5" t="s">
        <v>373</v>
      </c>
      <c r="F663" s="9">
        <v>77</v>
      </c>
      <c r="G663" s="9">
        <v>829</v>
      </c>
      <c r="H663" s="5" t="s">
        <v>21</v>
      </c>
      <c r="I663" s="5" t="s">
        <v>1771</v>
      </c>
      <c r="J663" s="12" t="str">
        <f>HYPERLINK("https://www.boe.es/gazeta/dias/1803/09/23/pdfs/GMD-1803-77.pdf#page=5","Abrir facsímil")</f>
        <v>Abrir facsímil</v>
      </c>
      <c r="K663" s="15" t="s">
        <v>23</v>
      </c>
    </row>
    <row r="664" spans="1:11" ht="42" customHeight="1">
      <c r="A664" s="4" t="s">
        <v>1772</v>
      </c>
      <c r="B664" s="5" t="s">
        <v>1773</v>
      </c>
      <c r="C664" s="5" t="s">
        <v>26</v>
      </c>
      <c r="D664" s="5" t="s">
        <v>27</v>
      </c>
      <c r="E664" s="5" t="s">
        <v>203</v>
      </c>
      <c r="F664" s="9">
        <v>32</v>
      </c>
      <c r="G664" s="9">
        <v>336</v>
      </c>
      <c r="H664" s="5" t="s">
        <v>21</v>
      </c>
      <c r="I664" s="5" t="s">
        <v>1774</v>
      </c>
      <c r="J664" s="12" t="str">
        <f>HYPERLINK("https://www.boe.es/gazeta/dias/1803/04/22/pdfs/GMD-1803-32.pdf#page=8","Abrir facsímil")</f>
        <v>Abrir facsímil</v>
      </c>
      <c r="K664" s="15" t="s">
        <v>23</v>
      </c>
    </row>
    <row r="665" spans="1:11" ht="42" customHeight="1">
      <c r="A665" s="4" t="s">
        <v>1775</v>
      </c>
      <c r="B665" s="5" t="s">
        <v>1776</v>
      </c>
      <c r="C665" s="5" t="s">
        <v>26</v>
      </c>
      <c r="D665" s="5" t="s">
        <v>27</v>
      </c>
      <c r="E665" s="5" t="s">
        <v>113</v>
      </c>
      <c r="F665" s="9">
        <v>93</v>
      </c>
      <c r="G665" s="9">
        <v>994</v>
      </c>
      <c r="H665" s="5" t="s">
        <v>21</v>
      </c>
      <c r="I665" s="5" t="s">
        <v>1777</v>
      </c>
      <c r="J665" s="12" t="str">
        <f>HYPERLINK("https://www.boe.es/gazeta/dias/1803/11/18/pdfs/GMD-1803-93.pdf#page=6","Abrir facsímil")</f>
        <v>Abrir facsímil</v>
      </c>
      <c r="K665" s="15" t="s">
        <v>23</v>
      </c>
    </row>
    <row r="666" spans="1:11" ht="42" customHeight="1">
      <c r="A666" s="4" t="s">
        <v>1778</v>
      </c>
      <c r="B666" s="5" t="s">
        <v>1779</v>
      </c>
      <c r="C666" s="5" t="s">
        <v>26</v>
      </c>
      <c r="D666" s="5" t="s">
        <v>27</v>
      </c>
      <c r="E666" s="5" t="s">
        <v>88</v>
      </c>
      <c r="F666" s="9">
        <v>18</v>
      </c>
      <c r="G666" s="9">
        <v>188</v>
      </c>
      <c r="H666" s="5" t="s">
        <v>21</v>
      </c>
      <c r="I666" s="5" t="s">
        <v>1780</v>
      </c>
      <c r="J666" s="12" t="str">
        <f>HYPERLINK("https://www.boe.es/gazeta/dias/1803/03/04/pdfs/GMD-1803-18.pdf#page=8","Abrir facsímil")</f>
        <v>Abrir facsímil</v>
      </c>
      <c r="K666" s="15" t="s">
        <v>23</v>
      </c>
    </row>
    <row r="667" spans="1:11" ht="42" customHeight="1">
      <c r="A667" s="4" t="s">
        <v>1781</v>
      </c>
      <c r="B667" s="5" t="s">
        <v>1782</v>
      </c>
      <c r="C667" s="5" t="s">
        <v>40</v>
      </c>
      <c r="D667" s="5" t="s">
        <v>41</v>
      </c>
      <c r="E667" s="5" t="s">
        <v>619</v>
      </c>
      <c r="F667" s="9">
        <v>53</v>
      </c>
      <c r="G667" s="9">
        <v>572</v>
      </c>
      <c r="H667" s="5" t="s">
        <v>21</v>
      </c>
      <c r="I667" s="5" t="s">
        <v>1783</v>
      </c>
      <c r="J667" s="12" t="str">
        <f>HYPERLINK("https://www.boe.es/gazeta/dias/1803/07/05/pdfs/GMD-1803-53.pdf#page=4","Abrir facsímil")</f>
        <v>Abrir facsímil</v>
      </c>
      <c r="K667" s="15" t="s">
        <v>23</v>
      </c>
    </row>
    <row r="668" spans="1:11" ht="42" customHeight="1">
      <c r="A668" s="4" t="s">
        <v>1784</v>
      </c>
      <c r="B668" s="5" t="s">
        <v>1785</v>
      </c>
      <c r="C668" s="5" t="s">
        <v>40</v>
      </c>
      <c r="D668" s="5" t="s">
        <v>41</v>
      </c>
      <c r="E668" s="5" t="s">
        <v>85</v>
      </c>
      <c r="F668" s="9">
        <v>49</v>
      </c>
      <c r="G668" s="9">
        <v>515</v>
      </c>
      <c r="H668" s="5" t="s">
        <v>21</v>
      </c>
      <c r="I668" s="5" t="s">
        <v>1786</v>
      </c>
      <c r="J668" s="12" t="str">
        <f>HYPERLINK("https://www.boe.es/gazeta/dias/1803/06/21/pdfs/GMD-1803-49.pdf#page=3","Abrir facsímil")</f>
        <v>Abrir facsímil</v>
      </c>
      <c r="K668" s="15" t="s">
        <v>23</v>
      </c>
    </row>
    <row r="669" spans="1:11" ht="42" customHeight="1">
      <c r="A669" s="4" t="s">
        <v>1787</v>
      </c>
      <c r="B669" s="5" t="s">
        <v>1788</v>
      </c>
      <c r="C669" s="5" t="s">
        <v>26</v>
      </c>
      <c r="D669" s="5" t="s">
        <v>27</v>
      </c>
      <c r="E669" s="5" t="s">
        <v>519</v>
      </c>
      <c r="F669" s="9">
        <v>50</v>
      </c>
      <c r="G669" s="9">
        <v>541</v>
      </c>
      <c r="H669" s="5" t="s">
        <v>21</v>
      </c>
      <c r="I669" s="5" t="s">
        <v>1789</v>
      </c>
      <c r="J669" s="12" t="str">
        <f>HYPERLINK("https://www.boe.es/gazeta/dias/1803/06/24/pdfs/GMD-1803-50.pdf#page=9","Abrir facsímil")</f>
        <v>Abrir facsímil</v>
      </c>
      <c r="K669" s="15" t="s">
        <v>23</v>
      </c>
    </row>
    <row r="670" spans="1:11" ht="42" customHeight="1">
      <c r="A670" s="4" t="s">
        <v>1790</v>
      </c>
      <c r="B670" s="5" t="s">
        <v>1790</v>
      </c>
      <c r="C670" s="5" t="s">
        <v>18</v>
      </c>
      <c r="D670" s="5" t="s">
        <v>19</v>
      </c>
      <c r="E670" s="5" t="s">
        <v>910</v>
      </c>
      <c r="F670" s="9">
        <v>66</v>
      </c>
      <c r="G670" s="9">
        <v>720</v>
      </c>
      <c r="H670" s="5" t="s">
        <v>21</v>
      </c>
      <c r="I670" s="5" t="s">
        <v>1791</v>
      </c>
      <c r="J670" s="12" t="str">
        <f>HYPERLINK("https://www.boe.es/gazeta/dias/1803/08/19/pdfs/GMD-1803-66.pdf#page=8","Abrir facsímil")</f>
        <v>Abrir facsímil</v>
      </c>
      <c r="K670" s="15" t="s">
        <v>23</v>
      </c>
    </row>
    <row r="671" spans="1:11" ht="42" customHeight="1">
      <c r="A671" s="4" t="s">
        <v>1792</v>
      </c>
      <c r="B671" s="5" t="s">
        <v>1792</v>
      </c>
      <c r="C671" s="5" t="s">
        <v>51</v>
      </c>
      <c r="D671" s="5" t="s">
        <v>52</v>
      </c>
      <c r="E671" s="5" t="s">
        <v>113</v>
      </c>
      <c r="F671" s="9">
        <v>93</v>
      </c>
      <c r="G671" s="9">
        <v>997</v>
      </c>
      <c r="H671" s="5" t="s">
        <v>21</v>
      </c>
      <c r="I671" s="5" t="s">
        <v>1793</v>
      </c>
      <c r="J671" s="12" t="str">
        <f>HYPERLINK("https://www.boe.es/gazeta/dias/1803/11/18/pdfs/GMD-1803-93.pdf#page=9","Abrir facsímil")</f>
        <v>Abrir facsímil</v>
      </c>
      <c r="K671" s="15" t="s">
        <v>23</v>
      </c>
    </row>
    <row r="672" spans="1:11" ht="42" customHeight="1">
      <c r="A672" s="4" t="s">
        <v>1794</v>
      </c>
      <c r="B672" s="5" t="s">
        <v>1794</v>
      </c>
      <c r="C672" s="5" t="s">
        <v>225</v>
      </c>
      <c r="D672" s="5" t="s">
        <v>226</v>
      </c>
      <c r="E672" s="5" t="s">
        <v>609</v>
      </c>
      <c r="F672" s="9">
        <v>57</v>
      </c>
      <c r="G672" s="9">
        <v>622</v>
      </c>
      <c r="H672" s="5" t="s">
        <v>21</v>
      </c>
      <c r="I672" s="5" t="s">
        <v>1795</v>
      </c>
      <c r="J672" s="12" t="str">
        <f>HYPERLINK("https://www.boe.es/gazeta/dias/1803/07/19/pdfs/GMD-C-1803-57.pdf#page=2","Abrir facsímil")</f>
        <v>Abrir facsímil</v>
      </c>
      <c r="K672" s="15" t="s">
        <v>23</v>
      </c>
    </row>
    <row r="673" spans="1:11" ht="42" customHeight="1">
      <c r="A673" s="4" t="s">
        <v>1796</v>
      </c>
      <c r="B673" s="5" t="s">
        <v>1796</v>
      </c>
      <c r="C673" s="5" t="s">
        <v>46</v>
      </c>
      <c r="D673" s="5" t="s">
        <v>19</v>
      </c>
      <c r="E673" s="5" t="s">
        <v>493</v>
      </c>
      <c r="F673" s="9">
        <v>104</v>
      </c>
      <c r="G673" s="9">
        <v>1116</v>
      </c>
      <c r="H673" s="5" t="s">
        <v>21</v>
      </c>
      <c r="I673" s="5" t="s">
        <v>1797</v>
      </c>
      <c r="J673" s="12" t="str">
        <f>HYPERLINK("https://www.boe.es/gazeta/dias/1803/12/27/pdfs/GMD-1803-104.pdf#page=8","Abrir facsímil")</f>
        <v>Abrir facsímil</v>
      </c>
      <c r="K673" s="15" t="s">
        <v>23</v>
      </c>
    </row>
    <row r="674" spans="1:11" ht="42" customHeight="1">
      <c r="A674" s="4" t="s">
        <v>1798</v>
      </c>
      <c r="B674" s="5" t="s">
        <v>1799</v>
      </c>
      <c r="C674" s="5" t="s">
        <v>26</v>
      </c>
      <c r="D674" s="5" t="s">
        <v>27</v>
      </c>
      <c r="E674" s="5" t="s">
        <v>514</v>
      </c>
      <c r="F674" s="9">
        <v>42</v>
      </c>
      <c r="G674" s="9">
        <v>438</v>
      </c>
      <c r="H674" s="5" t="s">
        <v>21</v>
      </c>
      <c r="I674" s="5" t="s">
        <v>1800</v>
      </c>
      <c r="J674" s="12" t="str">
        <f>HYPERLINK("https://www.boe.es/gazeta/dias/1803/05/27/pdfs/GMD-1803-42.pdf#page=6","Abrir facsímil")</f>
        <v>Abrir facsímil</v>
      </c>
      <c r="K674" s="15" t="s">
        <v>23</v>
      </c>
    </row>
    <row r="675" spans="1:11" ht="42" customHeight="1">
      <c r="A675" s="4" t="s">
        <v>1801</v>
      </c>
      <c r="B675" s="5" t="s">
        <v>1802</v>
      </c>
      <c r="C675" s="5" t="s">
        <v>51</v>
      </c>
      <c r="D675" s="5" t="s">
        <v>52</v>
      </c>
      <c r="E675" s="5" t="s">
        <v>203</v>
      </c>
      <c r="F675" s="9">
        <v>32</v>
      </c>
      <c r="G675" s="9">
        <v>337</v>
      </c>
      <c r="H675" s="5" t="s">
        <v>21</v>
      </c>
      <c r="I675" s="5" t="s">
        <v>1803</v>
      </c>
      <c r="J675" s="12" t="str">
        <f>HYPERLINK("https://www.boe.es/gazeta/dias/1803/04/22/pdfs/GMD-1803-32.pdf#page=9","Abrir facsímil")</f>
        <v>Abrir facsímil</v>
      </c>
      <c r="K675" s="15" t="s">
        <v>23</v>
      </c>
    </row>
    <row r="676" spans="1:11" ht="42" customHeight="1">
      <c r="A676" s="4" t="s">
        <v>1801</v>
      </c>
      <c r="B676" s="5" t="s">
        <v>1802</v>
      </c>
      <c r="C676" s="5" t="s">
        <v>26</v>
      </c>
      <c r="D676" s="5" t="s">
        <v>27</v>
      </c>
      <c r="E676" s="5" t="s">
        <v>328</v>
      </c>
      <c r="F676" s="9">
        <v>54</v>
      </c>
      <c r="G676" s="9">
        <v>591</v>
      </c>
      <c r="H676" s="5" t="s">
        <v>21</v>
      </c>
      <c r="I676" s="5" t="s">
        <v>1804</v>
      </c>
      <c r="J676" s="12" t="str">
        <f>HYPERLINK("https://www.boe.es/gazeta/dias/1803/07/08/pdfs/GMD-1803-54.pdf#page=11","Abrir facsímil")</f>
        <v>Abrir facsímil</v>
      </c>
      <c r="K676" s="15" t="s">
        <v>23</v>
      </c>
    </row>
    <row r="677" spans="1:11" ht="42" customHeight="1">
      <c r="A677" s="4" t="s">
        <v>1805</v>
      </c>
      <c r="B677" s="5" t="s">
        <v>1806</v>
      </c>
      <c r="C677" s="5" t="s">
        <v>26</v>
      </c>
      <c r="D677" s="5" t="s">
        <v>27</v>
      </c>
      <c r="E677" s="5" t="s">
        <v>199</v>
      </c>
      <c r="F677" s="9">
        <v>88</v>
      </c>
      <c r="G677" s="9">
        <v>942</v>
      </c>
      <c r="H677" s="5" t="s">
        <v>21</v>
      </c>
      <c r="I677" s="5" t="s">
        <v>1807</v>
      </c>
      <c r="J677" s="12" t="str">
        <f>HYPERLINK("https://www.boe.es/gazeta/dias/1803/11/01/pdfs/GMD-1803-88.pdf#page=2","Abrir facsímil")</f>
        <v>Abrir facsímil</v>
      </c>
      <c r="K677" s="15" t="s">
        <v>23</v>
      </c>
    </row>
    <row r="678" spans="1:11" ht="42" customHeight="1">
      <c r="A678" s="4" t="s">
        <v>1808</v>
      </c>
      <c r="B678" s="5" t="s">
        <v>1809</v>
      </c>
      <c r="C678" s="5" t="s">
        <v>26</v>
      </c>
      <c r="D678" s="5" t="s">
        <v>27</v>
      </c>
      <c r="E678" s="5" t="s">
        <v>882</v>
      </c>
      <c r="F678" s="9">
        <v>60</v>
      </c>
      <c r="G678" s="9">
        <v>650</v>
      </c>
      <c r="H678" s="5" t="s">
        <v>21</v>
      </c>
      <c r="I678" s="5" t="s">
        <v>1810</v>
      </c>
      <c r="J678" s="12" t="str">
        <f>HYPERLINK("https://www.boe.es/gazeta/dias/1803/07/29/pdfs/GMD-1803-60.pdf#page=2","Abrir facsímil")</f>
        <v>Abrir facsímil</v>
      </c>
      <c r="K678" s="15" t="s">
        <v>23</v>
      </c>
    </row>
    <row r="679" spans="1:11" ht="42" customHeight="1">
      <c r="A679" s="4" t="s">
        <v>1811</v>
      </c>
      <c r="B679" s="5" t="s">
        <v>1811</v>
      </c>
      <c r="C679" s="5" t="s">
        <v>26</v>
      </c>
      <c r="D679" s="5" t="s">
        <v>27</v>
      </c>
      <c r="E679" s="5" t="s">
        <v>191</v>
      </c>
      <c r="F679" s="9">
        <v>34</v>
      </c>
      <c r="G679" s="9">
        <v>358</v>
      </c>
      <c r="H679" s="5" t="s">
        <v>21</v>
      </c>
      <c r="I679" s="5" t="s">
        <v>1812</v>
      </c>
      <c r="J679" s="12" t="str">
        <f>HYPERLINK("https://www.boe.es/gazeta/dias/1803/04/29/pdfs/GMD-1803-34.pdf#page=6","Abrir facsímil")</f>
        <v>Abrir facsímil</v>
      </c>
      <c r="K679" s="15" t="s">
        <v>23</v>
      </c>
    </row>
    <row r="680" spans="1:11" ht="42" customHeight="1">
      <c r="A680" s="4" t="s">
        <v>1813</v>
      </c>
      <c r="B680" s="5" t="s">
        <v>1814</v>
      </c>
      <c r="C680" s="5" t="s">
        <v>51</v>
      </c>
      <c r="D680" s="5" t="s">
        <v>52</v>
      </c>
      <c r="E680" s="5" t="s">
        <v>919</v>
      </c>
      <c r="F680" s="9">
        <v>69</v>
      </c>
      <c r="G680" s="9">
        <v>750</v>
      </c>
      <c r="H680" s="5" t="s">
        <v>21</v>
      </c>
      <c r="I680" s="5" t="s">
        <v>1815</v>
      </c>
      <c r="J680" s="12" t="str">
        <f>HYPERLINK("https://www.boe.es/gazeta/dias/1803/08/30/pdfs/GMD-1803-69.pdf#page=6","Abrir facsímil")</f>
        <v>Abrir facsímil</v>
      </c>
      <c r="K680" s="15" t="s">
        <v>23</v>
      </c>
    </row>
    <row r="681" spans="1:11" ht="42" customHeight="1">
      <c r="A681" s="4" t="s">
        <v>1816</v>
      </c>
      <c r="B681" s="5" t="s">
        <v>1817</v>
      </c>
      <c r="C681" s="5" t="s">
        <v>26</v>
      </c>
      <c r="D681" s="5" t="s">
        <v>27</v>
      </c>
      <c r="E681" s="5" t="s">
        <v>174</v>
      </c>
      <c r="F681" s="9">
        <v>21</v>
      </c>
      <c r="G681" s="9">
        <v>221</v>
      </c>
      <c r="H681" s="5" t="s">
        <v>21</v>
      </c>
      <c r="I681" s="5" t="s">
        <v>1818</v>
      </c>
      <c r="J681" s="12" t="str">
        <f>HYPERLINK("https://www.boe.es/gazeta/dias/1803/03/15/pdfs/GMD-1803-21.pdf#page=5","Abrir facsímil")</f>
        <v>Abrir facsímil</v>
      </c>
      <c r="K681" s="15" t="s">
        <v>23</v>
      </c>
    </row>
    <row r="682" spans="1:11" ht="42" customHeight="1">
      <c r="A682" s="4" t="s">
        <v>1819</v>
      </c>
      <c r="B682" s="5" t="s">
        <v>1820</v>
      </c>
      <c r="C682" s="5" t="s">
        <v>51</v>
      </c>
      <c r="D682" s="5" t="s">
        <v>52</v>
      </c>
      <c r="E682" s="5" t="s">
        <v>501</v>
      </c>
      <c r="F682" s="9">
        <v>22</v>
      </c>
      <c r="G682" s="9">
        <v>240</v>
      </c>
      <c r="H682" s="5" t="s">
        <v>21</v>
      </c>
      <c r="I682" s="5" t="s">
        <v>1821</v>
      </c>
      <c r="J682" s="12" t="str">
        <f>HYPERLINK("https://www.boe.es/gazeta/dias/1803/03/18/pdfs/GMD-1803-22.pdf#page=12","Abrir facsímil")</f>
        <v>Abrir facsímil</v>
      </c>
      <c r="K682" s="15" t="s">
        <v>23</v>
      </c>
    </row>
    <row r="683" spans="1:11" ht="42" customHeight="1">
      <c r="A683" s="4" t="s">
        <v>1822</v>
      </c>
      <c r="B683" s="5" t="s">
        <v>1823</v>
      </c>
      <c r="C683" s="5" t="s">
        <v>26</v>
      </c>
      <c r="D683" s="5" t="s">
        <v>27</v>
      </c>
      <c r="E683" s="5" t="s">
        <v>36</v>
      </c>
      <c r="F683" s="9">
        <v>79</v>
      </c>
      <c r="G683" s="9">
        <v>855</v>
      </c>
      <c r="H683" s="5" t="s">
        <v>21</v>
      </c>
      <c r="I683" s="5" t="s">
        <v>1824</v>
      </c>
      <c r="J683" s="12" t="str">
        <f>HYPERLINK("https://www.boe.es/gazeta/dias/1803/09/30/pdfs/GMD-1803-79.pdf#page=7","Abrir facsímil")</f>
        <v>Abrir facsímil</v>
      </c>
      <c r="K683" s="15" t="s">
        <v>23</v>
      </c>
    </row>
    <row r="684" spans="1:11" ht="42" customHeight="1">
      <c r="A684" s="4" t="s">
        <v>1825</v>
      </c>
      <c r="B684" s="5" t="s">
        <v>1826</v>
      </c>
      <c r="C684" s="5" t="s">
        <v>80</v>
      </c>
      <c r="D684" s="5" t="s">
        <v>81</v>
      </c>
      <c r="E684" s="5" t="s">
        <v>514</v>
      </c>
      <c r="F684" s="9">
        <v>42</v>
      </c>
      <c r="G684" s="9">
        <v>440</v>
      </c>
      <c r="H684" s="5" t="s">
        <v>21</v>
      </c>
      <c r="I684" s="5" t="s">
        <v>1827</v>
      </c>
      <c r="J684" s="12" t="str">
        <f>HYPERLINK("https://www.boe.es/gazeta/dias/1803/05/27/pdfs/GMD-1803-42.pdf#page=8","Abrir facsímil")</f>
        <v>Abrir facsímil</v>
      </c>
      <c r="K684" s="15" t="s">
        <v>23</v>
      </c>
    </row>
    <row r="685" spans="1:11" ht="42" customHeight="1">
      <c r="A685" s="4" t="s">
        <v>1825</v>
      </c>
      <c r="B685" s="5" t="s">
        <v>1826</v>
      </c>
      <c r="C685" s="5" t="s">
        <v>51</v>
      </c>
      <c r="D685" s="5" t="s">
        <v>52</v>
      </c>
      <c r="E685" s="5" t="s">
        <v>199</v>
      </c>
      <c r="F685" s="9">
        <v>88</v>
      </c>
      <c r="G685" s="9">
        <v>947</v>
      </c>
      <c r="H685" s="5" t="s">
        <v>21</v>
      </c>
      <c r="I685" s="5" t="s">
        <v>1828</v>
      </c>
      <c r="J685" s="12" t="str">
        <f>HYPERLINK("https://www.boe.es/gazeta/dias/1803/11/01/pdfs/GMD-1803-88.pdf#page=7","Abrir facsímil")</f>
        <v>Abrir facsímil</v>
      </c>
      <c r="K685" s="15" t="s">
        <v>23</v>
      </c>
    </row>
    <row r="686" spans="1:11" ht="42" customHeight="1">
      <c r="A686" s="4" t="s">
        <v>1829</v>
      </c>
      <c r="B686" s="5" t="s">
        <v>1830</v>
      </c>
      <c r="C686" s="5" t="s">
        <v>80</v>
      </c>
      <c r="D686" s="5" t="s">
        <v>81</v>
      </c>
      <c r="E686" s="5" t="s">
        <v>519</v>
      </c>
      <c r="F686" s="9">
        <v>50</v>
      </c>
      <c r="G686" s="9">
        <v>543</v>
      </c>
      <c r="H686" s="5" t="s">
        <v>21</v>
      </c>
      <c r="I686" s="5" t="s">
        <v>1831</v>
      </c>
      <c r="J686" s="12" t="str">
        <f>HYPERLINK("https://www.boe.es/gazeta/dias/1803/06/24/pdfs/GMD-1803-50.pdf#page=11","Abrir facsímil")</f>
        <v>Abrir facsímil</v>
      </c>
      <c r="K686" s="15" t="s">
        <v>23</v>
      </c>
    </row>
    <row r="687" spans="1:11" ht="42" customHeight="1">
      <c r="A687" s="4" t="s">
        <v>1832</v>
      </c>
      <c r="B687" s="5" t="s">
        <v>1833</v>
      </c>
      <c r="C687" s="5" t="s">
        <v>80</v>
      </c>
      <c r="D687" s="5" t="s">
        <v>81</v>
      </c>
      <c r="E687" s="5" t="s">
        <v>967</v>
      </c>
      <c r="F687" s="9">
        <v>35</v>
      </c>
      <c r="G687" s="9">
        <v>368</v>
      </c>
      <c r="H687" s="5" t="s">
        <v>21</v>
      </c>
      <c r="I687" s="5" t="s">
        <v>1834</v>
      </c>
      <c r="J687" s="12" t="str">
        <f>HYPERLINK("https://www.boe.es/gazeta/dias/1803/05/03/pdfs/GMD-1803-35.pdf#page=8","Abrir facsímil")</f>
        <v>Abrir facsímil</v>
      </c>
      <c r="K687" s="15" t="s">
        <v>23</v>
      </c>
    </row>
    <row r="688" spans="1:11" ht="42" customHeight="1">
      <c r="A688" s="4" t="s">
        <v>1835</v>
      </c>
      <c r="B688" s="5" t="s">
        <v>1836</v>
      </c>
      <c r="C688" s="5" t="s">
        <v>26</v>
      </c>
      <c r="D688" s="5" t="s">
        <v>27</v>
      </c>
      <c r="E688" s="5" t="s">
        <v>156</v>
      </c>
      <c r="F688" s="9">
        <v>2</v>
      </c>
      <c r="G688" s="9">
        <v>17</v>
      </c>
      <c r="H688" s="5" t="s">
        <v>21</v>
      </c>
      <c r="I688" s="5" t="s">
        <v>1837</v>
      </c>
      <c r="J688" s="12" t="str">
        <f>HYPERLINK("https://www.boe.es/gazeta/dias/1803/01/07/pdfs/GMD-1803-2.pdf#page=9","Abrir facsímil")</f>
        <v>Abrir facsímil</v>
      </c>
      <c r="K688" s="15" t="s">
        <v>23</v>
      </c>
    </row>
    <row r="689" spans="1:11" ht="42" customHeight="1">
      <c r="A689" s="4" t="s">
        <v>1838</v>
      </c>
      <c r="B689" s="5" t="s">
        <v>1839</v>
      </c>
      <c r="C689" s="5" t="s">
        <v>40</v>
      </c>
      <c r="D689" s="5" t="s">
        <v>41</v>
      </c>
      <c r="E689" s="5" t="s">
        <v>178</v>
      </c>
      <c r="F689" s="9">
        <v>36</v>
      </c>
      <c r="G689" s="9">
        <v>372</v>
      </c>
      <c r="H689" s="5" t="s">
        <v>21</v>
      </c>
      <c r="I689" s="5" t="s">
        <v>1840</v>
      </c>
      <c r="J689" s="12" t="str">
        <f>HYPERLINK("https://www.boe.es/gazeta/dias/1803/05/06/pdfs/GMD-1803-36.pdf#page=4","Abrir facsímil")</f>
        <v>Abrir facsímil</v>
      </c>
      <c r="K689" s="15" t="s">
        <v>23</v>
      </c>
    </row>
    <row r="690" spans="1:11" ht="42" customHeight="1">
      <c r="A690" s="4" t="s">
        <v>1841</v>
      </c>
      <c r="B690" s="5" t="s">
        <v>1842</v>
      </c>
      <c r="C690" s="5" t="s">
        <v>51</v>
      </c>
      <c r="D690" s="5" t="s">
        <v>52</v>
      </c>
      <c r="E690" s="5" t="s">
        <v>657</v>
      </c>
      <c r="F690" s="9">
        <v>24</v>
      </c>
      <c r="G690" s="9">
        <v>259</v>
      </c>
      <c r="H690" s="5" t="s">
        <v>21</v>
      </c>
      <c r="I690" s="5" t="s">
        <v>1843</v>
      </c>
      <c r="J690" s="12" t="str">
        <f>HYPERLINK("https://www.boe.es/gazeta/dias/1803/03/25/pdfs/GMD-1803-24.pdf#page=11","Abrir facsímil")</f>
        <v>Abrir facsímil</v>
      </c>
      <c r="K690" s="15" t="s">
        <v>23</v>
      </c>
    </row>
    <row r="691" spans="1:11" ht="42" customHeight="1">
      <c r="A691" s="4" t="s">
        <v>1844</v>
      </c>
      <c r="B691" s="5" t="s">
        <v>1845</v>
      </c>
      <c r="C691" s="5" t="s">
        <v>26</v>
      </c>
      <c r="D691" s="5" t="s">
        <v>27</v>
      </c>
      <c r="E691" s="5" t="s">
        <v>1846</v>
      </c>
      <c r="F691" s="9">
        <v>89</v>
      </c>
      <c r="G691" s="9">
        <v>959</v>
      </c>
      <c r="H691" s="5" t="s">
        <v>21</v>
      </c>
      <c r="I691" s="5" t="s">
        <v>1847</v>
      </c>
      <c r="J691" s="12" t="str">
        <f>HYPERLINK("https://www.boe.es/gazeta/dias/1803/11/04/pdfs/GMD-1803-89.pdf#page=7","Abrir facsímil")</f>
        <v>Abrir facsímil</v>
      </c>
      <c r="K691" s="15" t="s">
        <v>23</v>
      </c>
    </row>
    <row r="692" spans="1:11" ht="42" customHeight="1">
      <c r="A692" s="4" t="s">
        <v>1848</v>
      </c>
      <c r="B692" s="5" t="s">
        <v>1849</v>
      </c>
      <c r="C692" s="5" t="s">
        <v>26</v>
      </c>
      <c r="D692" s="5" t="s">
        <v>27</v>
      </c>
      <c r="E692" s="5" t="s">
        <v>555</v>
      </c>
      <c r="F692" s="9">
        <v>83</v>
      </c>
      <c r="G692" s="9">
        <v>894</v>
      </c>
      <c r="H692" s="5" t="s">
        <v>21</v>
      </c>
      <c r="I692" s="5" t="s">
        <v>1850</v>
      </c>
      <c r="J692" s="12" t="str">
        <f>HYPERLINK("https://www.boe.es/gazeta/dias/1803/10/14/pdfs/GMD-1803-83.pdf#page=6","Abrir facsímil")</f>
        <v>Abrir facsímil</v>
      </c>
      <c r="K692" s="15" t="s">
        <v>23</v>
      </c>
    </row>
    <row r="693" spans="1:11" ht="42" customHeight="1">
      <c r="A693" s="4" t="s">
        <v>1851</v>
      </c>
      <c r="B693" s="5" t="s">
        <v>1851</v>
      </c>
      <c r="C693" s="5" t="s">
        <v>26</v>
      </c>
      <c r="D693" s="5" t="s">
        <v>27</v>
      </c>
      <c r="E693" s="5" t="s">
        <v>630</v>
      </c>
      <c r="F693" s="9">
        <v>85</v>
      </c>
      <c r="G693" s="9">
        <v>917</v>
      </c>
      <c r="H693" s="5" t="s">
        <v>21</v>
      </c>
      <c r="I693" s="5" t="s">
        <v>1852</v>
      </c>
      <c r="J693" s="12" t="str">
        <f>HYPERLINK("https://www.boe.es/gazeta/dias/1803/10/21/pdfs/GMD-1803-85.pdf#page=9","Abrir facsímil")</f>
        <v>Abrir facsímil</v>
      </c>
      <c r="K693" s="15" t="s">
        <v>23</v>
      </c>
    </row>
    <row r="694" spans="1:11" ht="42" customHeight="1">
      <c r="A694" s="4" t="s">
        <v>1853</v>
      </c>
      <c r="B694" s="5" t="s">
        <v>1853</v>
      </c>
      <c r="C694" s="5" t="s">
        <v>26</v>
      </c>
      <c r="D694" s="5" t="s">
        <v>27</v>
      </c>
      <c r="E694" s="5" t="s">
        <v>340</v>
      </c>
      <c r="F694" s="9">
        <v>55</v>
      </c>
      <c r="G694" s="9">
        <v>602</v>
      </c>
      <c r="H694" s="5" t="s">
        <v>21</v>
      </c>
      <c r="I694" s="5" t="s">
        <v>1854</v>
      </c>
      <c r="J694" s="12" t="str">
        <f>HYPERLINK("https://www.boe.es/gazeta/dias/1803/07/12/pdfs/GMD-1803-55.pdf#page=10","Abrir facsímil")</f>
        <v>Abrir facsímil</v>
      </c>
      <c r="K694" s="15" t="s">
        <v>23</v>
      </c>
    </row>
    <row r="695" spans="1:11" ht="42" customHeight="1">
      <c r="A695" s="4" t="s">
        <v>1855</v>
      </c>
      <c r="B695" s="5" t="s">
        <v>1855</v>
      </c>
      <c r="C695" s="5" t="s">
        <v>26</v>
      </c>
      <c r="D695" s="5" t="s">
        <v>27</v>
      </c>
      <c r="E695" s="5" t="s">
        <v>203</v>
      </c>
      <c r="F695" s="9">
        <v>32</v>
      </c>
      <c r="G695" s="9">
        <v>335</v>
      </c>
      <c r="H695" s="5" t="s">
        <v>21</v>
      </c>
      <c r="I695" s="5" t="s">
        <v>1856</v>
      </c>
      <c r="J695" s="12" t="str">
        <f>HYPERLINK("https://www.boe.es/gazeta/dias/1803/04/22/pdfs/GMD-1803-32.pdf#page=7","Abrir facsímil")</f>
        <v>Abrir facsímil</v>
      </c>
      <c r="K695" s="15" t="s">
        <v>23</v>
      </c>
    </row>
    <row r="696" spans="1:11" ht="42" customHeight="1">
      <c r="A696" s="4" t="s">
        <v>1857</v>
      </c>
      <c r="B696" s="5" t="s">
        <v>1858</v>
      </c>
      <c r="C696" s="5" t="s">
        <v>26</v>
      </c>
      <c r="D696" s="5" t="s">
        <v>27</v>
      </c>
      <c r="E696" s="5" t="s">
        <v>289</v>
      </c>
      <c r="F696" s="9">
        <v>38</v>
      </c>
      <c r="G696" s="9">
        <v>402</v>
      </c>
      <c r="H696" s="5" t="s">
        <v>21</v>
      </c>
      <c r="I696" s="5" t="s">
        <v>1859</v>
      </c>
      <c r="J696" s="12" t="str">
        <f>HYPERLINK("https://www.boe.es/gazeta/dias/1803/05/13/pdfs/GMD-1803-38.pdf#page=10","Abrir facsímil")</f>
        <v>Abrir facsímil</v>
      </c>
      <c r="K696" s="15" t="s">
        <v>23</v>
      </c>
    </row>
    <row r="697" spans="1:11" ht="42" customHeight="1">
      <c r="A697" s="4" t="s">
        <v>1860</v>
      </c>
      <c r="B697" s="5" t="s">
        <v>1860</v>
      </c>
      <c r="C697" s="5" t="s">
        <v>26</v>
      </c>
      <c r="D697" s="5" t="s">
        <v>27</v>
      </c>
      <c r="E697" s="5" t="s">
        <v>93</v>
      </c>
      <c r="F697" s="9">
        <v>43</v>
      </c>
      <c r="G697" s="9">
        <v>449</v>
      </c>
      <c r="H697" s="5" t="s">
        <v>21</v>
      </c>
      <c r="I697" s="5" t="s">
        <v>1861</v>
      </c>
      <c r="J697" s="12" t="str">
        <f>HYPERLINK("https://www.boe.es/gazeta/dias/1803/05/31/pdfs/GMD-1803-43.pdf#page=9","Abrir facsímil")</f>
        <v>Abrir facsímil</v>
      </c>
      <c r="K697" s="15" t="s">
        <v>23</v>
      </c>
    </row>
    <row r="698" spans="1:11" ht="42" customHeight="1">
      <c r="A698" s="4" t="s">
        <v>1862</v>
      </c>
      <c r="B698" s="5" t="s">
        <v>1863</v>
      </c>
      <c r="C698" s="5" t="s">
        <v>51</v>
      </c>
      <c r="D698" s="5" t="s">
        <v>52</v>
      </c>
      <c r="E698" s="5" t="s">
        <v>83</v>
      </c>
      <c r="F698" s="9">
        <v>28</v>
      </c>
      <c r="G698" s="9">
        <v>302</v>
      </c>
      <c r="H698" s="5" t="s">
        <v>21</v>
      </c>
      <c r="I698" s="5" t="s">
        <v>1864</v>
      </c>
      <c r="J698" s="12" t="str">
        <f>HYPERLINK("https://www.boe.es/gazeta/dias/1803/04/08/pdfs/GMD-1803-28.pdf#page=6","Abrir facsímil")</f>
        <v>Abrir facsímil</v>
      </c>
      <c r="K698" s="15" t="s">
        <v>23</v>
      </c>
    </row>
    <row r="699" spans="1:11" ht="42" customHeight="1">
      <c r="A699" s="4" t="s">
        <v>1865</v>
      </c>
      <c r="B699" s="5" t="s">
        <v>1866</v>
      </c>
      <c r="C699" s="5" t="s">
        <v>26</v>
      </c>
      <c r="D699" s="5" t="s">
        <v>27</v>
      </c>
      <c r="E699" s="5" t="s">
        <v>99</v>
      </c>
      <c r="F699" s="9">
        <v>29</v>
      </c>
      <c r="G699" s="9">
        <v>310</v>
      </c>
      <c r="H699" s="5" t="s">
        <v>21</v>
      </c>
      <c r="I699" s="5" t="s">
        <v>1867</v>
      </c>
      <c r="J699" s="12" t="str">
        <f>HYPERLINK("https://www.boe.es/gazeta/dias/1803/04/12/pdfs/GMD-1803-29.pdf#page=6","Abrir facsímil")</f>
        <v>Abrir facsímil</v>
      </c>
      <c r="K699" s="15" t="s">
        <v>23</v>
      </c>
    </row>
    <row r="700" spans="1:11" ht="42" customHeight="1">
      <c r="A700" s="4" t="s">
        <v>1868</v>
      </c>
      <c r="B700" s="5" t="s">
        <v>1868</v>
      </c>
      <c r="C700" s="5" t="s">
        <v>51</v>
      </c>
      <c r="D700" s="5" t="s">
        <v>52</v>
      </c>
      <c r="E700" s="5" t="s">
        <v>882</v>
      </c>
      <c r="F700" s="9">
        <v>60</v>
      </c>
      <c r="G700" s="9">
        <v>657</v>
      </c>
      <c r="H700" s="5" t="s">
        <v>21</v>
      </c>
      <c r="I700" s="5" t="s">
        <v>1869</v>
      </c>
      <c r="J700" s="12" t="str">
        <f>HYPERLINK("https://www.boe.es/gazeta/dias/1803/07/29/pdfs/GMD-1803-60.pdf#page=9","Abrir facsímil")</f>
        <v>Abrir facsímil</v>
      </c>
      <c r="K700" s="15" t="s">
        <v>23</v>
      </c>
    </row>
    <row r="701" spans="1:11" ht="42" customHeight="1">
      <c r="A701" s="4" t="s">
        <v>1870</v>
      </c>
      <c r="B701" s="5" t="s">
        <v>1870</v>
      </c>
      <c r="C701" s="5" t="s">
        <v>26</v>
      </c>
      <c r="D701" s="5" t="s">
        <v>27</v>
      </c>
      <c r="E701" s="5" t="s">
        <v>109</v>
      </c>
      <c r="F701" s="9">
        <v>102</v>
      </c>
      <c r="G701" s="9">
        <v>1097</v>
      </c>
      <c r="H701" s="5" t="s">
        <v>21</v>
      </c>
      <c r="I701" s="5" t="s">
        <v>1871</v>
      </c>
      <c r="J701" s="12" t="str">
        <f>HYPERLINK("https://www.boe.es/gazeta/dias/1803/12/20/pdfs/GMD-1803-102.pdf#page=9","Abrir facsímil")</f>
        <v>Abrir facsímil</v>
      </c>
      <c r="K701" s="15" t="s">
        <v>23</v>
      </c>
    </row>
    <row r="702" spans="1:11" ht="42" customHeight="1">
      <c r="A702" s="4" t="s">
        <v>1872</v>
      </c>
      <c r="B702" s="5" t="s">
        <v>1873</v>
      </c>
      <c r="C702" s="5" t="s">
        <v>26</v>
      </c>
      <c r="D702" s="5" t="s">
        <v>27</v>
      </c>
      <c r="E702" s="5" t="s">
        <v>300</v>
      </c>
      <c r="F702" s="9">
        <v>96</v>
      </c>
      <c r="G702" s="9">
        <v>1033</v>
      </c>
      <c r="H702" s="5" t="s">
        <v>21</v>
      </c>
      <c r="I702" s="5" t="s">
        <v>1874</v>
      </c>
      <c r="J702" s="12" t="str">
        <f>HYPERLINK("https://www.boe.es/gazeta/dias/1803/11/29/pdfs/GMD-1803-96.pdf#page=9","Abrir facsímil")</f>
        <v>Abrir facsímil</v>
      </c>
      <c r="K702" s="15" t="s">
        <v>23</v>
      </c>
    </row>
    <row r="703" spans="1:11" ht="42" customHeight="1">
      <c r="A703" s="4" t="s">
        <v>1875</v>
      </c>
      <c r="B703" s="5" t="s">
        <v>1876</v>
      </c>
      <c r="C703" s="5" t="s">
        <v>51</v>
      </c>
      <c r="D703" s="5" t="s">
        <v>52</v>
      </c>
      <c r="E703" s="5" t="s">
        <v>784</v>
      </c>
      <c r="F703" s="9">
        <v>86</v>
      </c>
      <c r="G703" s="9">
        <v>930</v>
      </c>
      <c r="H703" s="5" t="s">
        <v>21</v>
      </c>
      <c r="I703" s="5" t="s">
        <v>1877</v>
      </c>
      <c r="J703" s="12" t="str">
        <f>HYPERLINK("https://www.boe.es/gazeta/dias/1803/10/25/pdfs/GMD-1803-86.pdf#page=10","Abrir facsímil")</f>
        <v>Abrir facsímil</v>
      </c>
      <c r="K703" s="15" t="s">
        <v>23</v>
      </c>
    </row>
    <row r="704" spans="1:11" ht="42" customHeight="1">
      <c r="A704" s="4" t="s">
        <v>1878</v>
      </c>
      <c r="B704" s="5" t="s">
        <v>1879</v>
      </c>
      <c r="C704" s="5" t="s">
        <v>26</v>
      </c>
      <c r="D704" s="5" t="s">
        <v>27</v>
      </c>
      <c r="E704" s="5" t="s">
        <v>191</v>
      </c>
      <c r="F704" s="9">
        <v>34</v>
      </c>
      <c r="G704" s="9">
        <v>358</v>
      </c>
      <c r="H704" s="5" t="s">
        <v>21</v>
      </c>
      <c r="I704" s="5" t="s">
        <v>1880</v>
      </c>
      <c r="J704" s="12" t="str">
        <f>HYPERLINK("https://www.boe.es/gazeta/dias/1803/04/29/pdfs/GMD-1803-34.pdf#page=6","Abrir facsímil")</f>
        <v>Abrir facsímil</v>
      </c>
      <c r="K704" s="15" t="s">
        <v>23</v>
      </c>
    </row>
    <row r="705" spans="1:11" ht="42" customHeight="1">
      <c r="A705" s="4" t="s">
        <v>1881</v>
      </c>
      <c r="B705" s="5" t="s">
        <v>1882</v>
      </c>
      <c r="C705" s="5" t="s">
        <v>26</v>
      </c>
      <c r="D705" s="5" t="s">
        <v>27</v>
      </c>
      <c r="E705" s="5" t="s">
        <v>967</v>
      </c>
      <c r="F705" s="9">
        <v>35</v>
      </c>
      <c r="G705" s="9">
        <v>367</v>
      </c>
      <c r="H705" s="5" t="s">
        <v>21</v>
      </c>
      <c r="I705" s="5" t="s">
        <v>1883</v>
      </c>
      <c r="J705" s="12" t="str">
        <f>HYPERLINK("https://www.boe.es/gazeta/dias/1803/05/03/pdfs/GMD-1803-35.pdf#page=7","Abrir facsímil")</f>
        <v>Abrir facsímil</v>
      </c>
      <c r="K705" s="15" t="s">
        <v>23</v>
      </c>
    </row>
    <row r="706" spans="1:11" ht="42" customHeight="1">
      <c r="A706" s="4" t="s">
        <v>1884</v>
      </c>
      <c r="B706" s="5" t="s">
        <v>1885</v>
      </c>
      <c r="C706" s="5" t="s">
        <v>26</v>
      </c>
      <c r="D706" s="5" t="s">
        <v>27</v>
      </c>
      <c r="E706" s="5" t="s">
        <v>102</v>
      </c>
      <c r="F706" s="9">
        <v>31</v>
      </c>
      <c r="G706" s="9">
        <v>322</v>
      </c>
      <c r="H706" s="5" t="s">
        <v>21</v>
      </c>
      <c r="I706" s="5" t="s">
        <v>1886</v>
      </c>
      <c r="J706" s="12" t="str">
        <f>HYPERLINK("https://www.boe.es/gazeta/dias/1803/04/19/pdfs/GMD-1803-31.pdf#page=2","Abrir facsímil")</f>
        <v>Abrir facsímil</v>
      </c>
      <c r="K706" s="15" t="s">
        <v>23</v>
      </c>
    </row>
    <row r="707" spans="1:11" ht="42" customHeight="1">
      <c r="A707" s="4" t="s">
        <v>1887</v>
      </c>
      <c r="B707" s="5" t="s">
        <v>1887</v>
      </c>
      <c r="C707" s="5" t="s">
        <v>26</v>
      </c>
      <c r="D707" s="5" t="s">
        <v>27</v>
      </c>
      <c r="E707" s="5" t="s">
        <v>199</v>
      </c>
      <c r="F707" s="9">
        <v>88</v>
      </c>
      <c r="G707" s="9">
        <v>947</v>
      </c>
      <c r="H707" s="5" t="s">
        <v>21</v>
      </c>
      <c r="I707" s="5" t="s">
        <v>1888</v>
      </c>
      <c r="J707" s="12" t="str">
        <f>HYPERLINK("https://www.boe.es/gazeta/dias/1803/11/01/pdfs/GMD-1803-88.pdf#page=7","Abrir facsímil")</f>
        <v>Abrir facsímil</v>
      </c>
      <c r="K707" s="15" t="s">
        <v>23</v>
      </c>
    </row>
    <row r="708" spans="1:11" ht="42" customHeight="1">
      <c r="A708" s="4" t="s">
        <v>1889</v>
      </c>
      <c r="B708" s="5" t="s">
        <v>1890</v>
      </c>
      <c r="C708" s="5" t="s">
        <v>18</v>
      </c>
      <c r="D708" s="5" t="s">
        <v>19</v>
      </c>
      <c r="E708" s="5" t="s">
        <v>395</v>
      </c>
      <c r="F708" s="9">
        <v>13</v>
      </c>
      <c r="G708" s="9">
        <v>134</v>
      </c>
      <c r="H708" s="5" t="s">
        <v>21</v>
      </c>
      <c r="I708" s="5" t="s">
        <v>1891</v>
      </c>
      <c r="J708" s="12" t="str">
        <f>HYPERLINK("https://www.boe.es/gazeta/dias/1803/02/15/pdfs/GMD-1803-13.pdf#page=10","Abrir facsímil")</f>
        <v>Abrir facsímil</v>
      </c>
      <c r="K708" s="15" t="s">
        <v>23</v>
      </c>
    </row>
    <row r="709" spans="1:11" ht="42" customHeight="1">
      <c r="A709" s="4" t="s">
        <v>1892</v>
      </c>
      <c r="B709" s="5" t="s">
        <v>1893</v>
      </c>
      <c r="C709" s="5" t="s">
        <v>51</v>
      </c>
      <c r="D709" s="5" t="s">
        <v>52</v>
      </c>
      <c r="E709" s="5" t="s">
        <v>68</v>
      </c>
      <c r="F709" s="9">
        <v>23</v>
      </c>
      <c r="G709" s="9">
        <v>247</v>
      </c>
      <c r="H709" s="5" t="s">
        <v>21</v>
      </c>
      <c r="I709" s="5" t="s">
        <v>1894</v>
      </c>
      <c r="J709" s="12" t="str">
        <f>HYPERLINK("https://www.boe.es/gazeta/dias/1803/03/22/pdfs/GMD-1803-23.pdf#page=7","Abrir facsímil")</f>
        <v>Abrir facsímil</v>
      </c>
      <c r="K709" s="15" t="s">
        <v>23</v>
      </c>
    </row>
    <row r="710" spans="1:11" ht="42" customHeight="1">
      <c r="A710" s="4" t="s">
        <v>1892</v>
      </c>
      <c r="B710" s="5" t="s">
        <v>1893</v>
      </c>
      <c r="C710" s="5" t="s">
        <v>40</v>
      </c>
      <c r="D710" s="5" t="s">
        <v>41</v>
      </c>
      <c r="E710" s="5" t="s">
        <v>795</v>
      </c>
      <c r="F710" s="9">
        <v>98</v>
      </c>
      <c r="G710" s="9">
        <v>1050</v>
      </c>
      <c r="H710" s="5" t="s">
        <v>21</v>
      </c>
      <c r="I710" s="5" t="s">
        <v>1895</v>
      </c>
      <c r="J710" s="12" t="str">
        <f>HYPERLINK("https://www.boe.es/gazeta/dias/1803/12/06/pdfs/GMD-1803-98.pdf#page=6","Abrir facsímil")</f>
        <v>Abrir facsímil</v>
      </c>
      <c r="K710" s="15" t="s">
        <v>23</v>
      </c>
    </row>
    <row r="711" spans="1:11" ht="42" customHeight="1">
      <c r="A711" s="4" t="s">
        <v>1896</v>
      </c>
      <c r="B711" s="5" t="s">
        <v>1897</v>
      </c>
      <c r="C711" s="5" t="s">
        <v>26</v>
      </c>
      <c r="D711" s="5" t="s">
        <v>27</v>
      </c>
      <c r="E711" s="5" t="s">
        <v>214</v>
      </c>
      <c r="F711" s="9">
        <v>17</v>
      </c>
      <c r="G711" s="9">
        <v>179</v>
      </c>
      <c r="H711" s="5" t="s">
        <v>21</v>
      </c>
      <c r="I711" s="5" t="s">
        <v>1898</v>
      </c>
      <c r="J711" s="12" t="str">
        <f>HYPERLINK("https://www.boe.es/gazeta/dias/1803/03/01/pdfs/GMD-1803-17.pdf#page=11","Abrir facsímil")</f>
        <v>Abrir facsímil</v>
      </c>
      <c r="K711" s="15" t="s">
        <v>23</v>
      </c>
    </row>
    <row r="712" spans="1:11" ht="42" customHeight="1">
      <c r="A712" s="4" t="s">
        <v>1899</v>
      </c>
      <c r="B712" s="5" t="s">
        <v>1900</v>
      </c>
      <c r="C712" s="5" t="s">
        <v>26</v>
      </c>
      <c r="D712" s="5" t="s">
        <v>27</v>
      </c>
      <c r="E712" s="5" t="s">
        <v>285</v>
      </c>
      <c r="F712" s="9">
        <v>5</v>
      </c>
      <c r="G712" s="9">
        <v>46</v>
      </c>
      <c r="H712" s="5" t="s">
        <v>21</v>
      </c>
      <c r="I712" s="5" t="s">
        <v>1901</v>
      </c>
      <c r="J712" s="12" t="str">
        <f>HYPERLINK("https://www.boe.es/gazeta/dias/1803/01/18/pdfs/GMD-1803-5.pdf#page=10","Abrir facsímil")</f>
        <v>Abrir facsímil</v>
      </c>
      <c r="K712" s="15" t="s">
        <v>23</v>
      </c>
    </row>
    <row r="713" spans="1:11" ht="42" customHeight="1">
      <c r="A713" s="4" t="s">
        <v>1902</v>
      </c>
      <c r="B713" s="5" t="s">
        <v>1903</v>
      </c>
      <c r="C713" s="5" t="s">
        <v>26</v>
      </c>
      <c r="D713" s="5" t="s">
        <v>27</v>
      </c>
      <c r="E713" s="5" t="s">
        <v>336</v>
      </c>
      <c r="F713" s="9">
        <v>105</v>
      </c>
      <c r="G713" s="9">
        <v>1122</v>
      </c>
      <c r="H713" s="5" t="s">
        <v>21</v>
      </c>
      <c r="I713" s="5" t="s">
        <v>1904</v>
      </c>
      <c r="J713" s="12" t="str">
        <f>HYPERLINK("https://www.boe.es/gazeta/dias/1803/12/30/pdfs/GMD-1803-105.pdf#page=6","Abrir facsímil")</f>
        <v>Abrir facsímil</v>
      </c>
      <c r="K713" s="15" t="s">
        <v>23</v>
      </c>
    </row>
    <row r="714" spans="1:11" ht="42" customHeight="1">
      <c r="A714" s="4" t="s">
        <v>1905</v>
      </c>
      <c r="B714" s="5" t="s">
        <v>1905</v>
      </c>
      <c r="C714" s="5" t="s">
        <v>26</v>
      </c>
      <c r="D714" s="5" t="s">
        <v>27</v>
      </c>
      <c r="E714" s="5" t="s">
        <v>336</v>
      </c>
      <c r="F714" s="9">
        <v>105</v>
      </c>
      <c r="G714" s="9">
        <v>1117</v>
      </c>
      <c r="H714" s="5" t="s">
        <v>21</v>
      </c>
      <c r="I714" s="5" t="s">
        <v>1906</v>
      </c>
      <c r="J714" s="12" t="str">
        <f>HYPERLINK("https://www.boe.es/gazeta/dias/1803/12/30/pdfs/GMD-1803-105.pdf#page=1","Abrir facsímil")</f>
        <v>Abrir facsímil</v>
      </c>
      <c r="K714" s="15" t="s">
        <v>23</v>
      </c>
    </row>
    <row r="715" spans="1:11" ht="42" customHeight="1">
      <c r="A715" s="4" t="s">
        <v>1907</v>
      </c>
      <c r="B715" s="5" t="s">
        <v>1908</v>
      </c>
      <c r="C715" s="5" t="s">
        <v>40</v>
      </c>
      <c r="D715" s="5" t="s">
        <v>41</v>
      </c>
      <c r="E715" s="5" t="s">
        <v>68</v>
      </c>
      <c r="F715" s="9">
        <v>23</v>
      </c>
      <c r="G715" s="9">
        <v>241</v>
      </c>
      <c r="H715" s="5" t="s">
        <v>21</v>
      </c>
      <c r="I715" s="5" t="s">
        <v>1909</v>
      </c>
      <c r="J715" s="12" t="str">
        <f>HYPERLINK("https://www.boe.es/gazeta/dias/1803/03/22/pdfs/GMD-1803-23.pdf#page=1","Abrir facsímil")</f>
        <v>Abrir facsímil</v>
      </c>
      <c r="K715" s="15" t="s">
        <v>23</v>
      </c>
    </row>
    <row r="716" spans="1:11" ht="42" customHeight="1">
      <c r="A716" s="4" t="s">
        <v>1910</v>
      </c>
      <c r="B716" s="5" t="s">
        <v>1910</v>
      </c>
      <c r="C716" s="5" t="s">
        <v>51</v>
      </c>
      <c r="D716" s="5" t="s">
        <v>52</v>
      </c>
      <c r="E716" s="5" t="s">
        <v>156</v>
      </c>
      <c r="F716" s="9">
        <v>2</v>
      </c>
      <c r="G716" s="9">
        <v>14</v>
      </c>
      <c r="H716" s="5" t="s">
        <v>21</v>
      </c>
      <c r="I716" s="5" t="s">
        <v>1911</v>
      </c>
      <c r="J716" s="12" t="str">
        <f>HYPERLINK("https://www.boe.es/gazeta/dias/1803/01/07/pdfs/GMD-1803-2.pdf#page=6","Abrir facsímil")</f>
        <v>Abrir facsímil</v>
      </c>
      <c r="K716" s="15" t="s">
        <v>23</v>
      </c>
    </row>
    <row r="717" spans="1:11" ht="42" customHeight="1">
      <c r="A717" s="4" t="s">
        <v>1912</v>
      </c>
      <c r="B717" s="5" t="s">
        <v>1912</v>
      </c>
      <c r="C717" s="5" t="s">
        <v>26</v>
      </c>
      <c r="D717" s="5" t="s">
        <v>27</v>
      </c>
      <c r="E717" s="5" t="s">
        <v>214</v>
      </c>
      <c r="F717" s="9">
        <v>17</v>
      </c>
      <c r="G717" s="9">
        <v>170</v>
      </c>
      <c r="H717" s="5" t="s">
        <v>21</v>
      </c>
      <c r="I717" s="5" t="s">
        <v>1913</v>
      </c>
      <c r="J717" s="12" t="str">
        <f>HYPERLINK("https://www.boe.es/gazeta/dias/1803/03/01/pdfs/GMD-1803-17.pdf#page=2","Abrir facsímil")</f>
        <v>Abrir facsímil</v>
      </c>
      <c r="K717" s="15" t="s">
        <v>23</v>
      </c>
    </row>
    <row r="718" spans="1:11" ht="42" customHeight="1">
      <c r="A718" s="4" t="s">
        <v>1912</v>
      </c>
      <c r="B718" s="5" t="s">
        <v>1912</v>
      </c>
      <c r="C718" s="5" t="s">
        <v>40</v>
      </c>
      <c r="D718" s="5" t="s">
        <v>41</v>
      </c>
      <c r="E718" s="5" t="s">
        <v>289</v>
      </c>
      <c r="F718" s="9">
        <v>38</v>
      </c>
      <c r="G718" s="9">
        <v>393</v>
      </c>
      <c r="H718" s="5" t="s">
        <v>21</v>
      </c>
      <c r="I718" s="5" t="s">
        <v>1914</v>
      </c>
      <c r="J718" s="12" t="str">
        <f>HYPERLINK("https://www.boe.es/gazeta/dias/1803/05/13/pdfs/GMD-1803-38.pdf#page=1","Abrir facsímil")</f>
        <v>Abrir facsímil</v>
      </c>
      <c r="K718" s="15" t="s">
        <v>23</v>
      </c>
    </row>
    <row r="719" spans="1:11" ht="42" customHeight="1">
      <c r="A719" s="4" t="s">
        <v>1912</v>
      </c>
      <c r="B719" s="5" t="s">
        <v>1912</v>
      </c>
      <c r="C719" s="5" t="s">
        <v>40</v>
      </c>
      <c r="D719" s="5" t="s">
        <v>41</v>
      </c>
      <c r="E719" s="5" t="s">
        <v>1915</v>
      </c>
      <c r="F719" s="9">
        <v>44</v>
      </c>
      <c r="G719" s="9">
        <v>454</v>
      </c>
      <c r="H719" s="5" t="s">
        <v>21</v>
      </c>
      <c r="I719" s="5" t="s">
        <v>1916</v>
      </c>
      <c r="J719" s="12" t="str">
        <f>HYPERLINK("https://www.boe.es/gazeta/dias/1803/06/03/pdfs/GMD-1803-44.pdf#page=2","Abrir facsímil")</f>
        <v>Abrir facsímil</v>
      </c>
      <c r="K719" s="15" t="s">
        <v>23</v>
      </c>
    </row>
    <row r="720" spans="1:11" ht="42" customHeight="1">
      <c r="A720" s="4" t="s">
        <v>1917</v>
      </c>
      <c r="B720" s="5" t="s">
        <v>1918</v>
      </c>
      <c r="C720" s="5" t="s">
        <v>40</v>
      </c>
      <c r="D720" s="5" t="s">
        <v>41</v>
      </c>
      <c r="E720" s="5" t="s">
        <v>42</v>
      </c>
      <c r="F720" s="9">
        <v>10</v>
      </c>
      <c r="G720" s="9">
        <v>100</v>
      </c>
      <c r="H720" s="5" t="s">
        <v>21</v>
      </c>
      <c r="I720" s="5" t="s">
        <v>1919</v>
      </c>
      <c r="J720" s="12" t="str">
        <f>HYPERLINK("https://www.boe.es/gazeta/dias/1803/02/04/pdfs/GMD-1803-10.pdf#page=4","Abrir facsímil")</f>
        <v>Abrir facsímil</v>
      </c>
      <c r="K720" s="15" t="s">
        <v>23</v>
      </c>
    </row>
    <row r="721" spans="1:11" ht="42" customHeight="1">
      <c r="A721" s="4" t="s">
        <v>1917</v>
      </c>
      <c r="B721" s="5" t="s">
        <v>1918</v>
      </c>
      <c r="C721" s="5" t="s">
        <v>40</v>
      </c>
      <c r="D721" s="5" t="s">
        <v>41</v>
      </c>
      <c r="E721" s="5" t="s">
        <v>657</v>
      </c>
      <c r="F721" s="9">
        <v>24</v>
      </c>
      <c r="G721" s="9">
        <v>252</v>
      </c>
      <c r="H721" s="5" t="s">
        <v>21</v>
      </c>
      <c r="I721" s="5" t="s">
        <v>1920</v>
      </c>
      <c r="J721" s="12" t="str">
        <f>HYPERLINK("https://www.boe.es/gazeta/dias/1803/03/25/pdfs/GMD-1803-24.pdf#page=4","Abrir facsímil")</f>
        <v>Abrir facsímil</v>
      </c>
      <c r="K721" s="15" t="s">
        <v>23</v>
      </c>
    </row>
    <row r="722" spans="1:11" ht="42" customHeight="1">
      <c r="A722" s="4" t="s">
        <v>1917</v>
      </c>
      <c r="B722" s="5" t="s">
        <v>1918</v>
      </c>
      <c r="C722" s="5" t="s">
        <v>26</v>
      </c>
      <c r="D722" s="5" t="s">
        <v>27</v>
      </c>
      <c r="E722" s="5" t="s">
        <v>132</v>
      </c>
      <c r="F722" s="9">
        <v>58</v>
      </c>
      <c r="G722" s="9">
        <v>632</v>
      </c>
      <c r="H722" s="5" t="s">
        <v>21</v>
      </c>
      <c r="I722" s="5" t="s">
        <v>1921</v>
      </c>
      <c r="J722" s="12" t="str">
        <f>HYPERLINK("https://www.boe.es/gazeta/dias/1803/07/22/pdfs/GMD-1803-58.pdf#page=4","Abrir facsímil")</f>
        <v>Abrir facsímil</v>
      </c>
      <c r="K722" s="15" t="s">
        <v>23</v>
      </c>
    </row>
    <row r="723" spans="1:11" ht="42" customHeight="1">
      <c r="A723" s="4" t="s">
        <v>1922</v>
      </c>
      <c r="B723" s="5" t="s">
        <v>1922</v>
      </c>
      <c r="C723" s="5" t="s">
        <v>51</v>
      </c>
      <c r="D723" s="5" t="s">
        <v>52</v>
      </c>
      <c r="E723" s="5" t="s">
        <v>509</v>
      </c>
      <c r="F723" s="9">
        <v>6</v>
      </c>
      <c r="G723" s="9">
        <v>53</v>
      </c>
      <c r="H723" s="5" t="s">
        <v>21</v>
      </c>
      <c r="I723" s="5" t="s">
        <v>1923</v>
      </c>
      <c r="J723" s="12" t="str">
        <f>HYPERLINK("https://www.boe.es/gazeta/dias/1803/01/21/pdfs/GMD-1803-6.pdf#page=5","Abrir facsímil")</f>
        <v>Abrir facsímil</v>
      </c>
      <c r="K723" s="15" t="s">
        <v>23</v>
      </c>
    </row>
    <row r="724" spans="1:11" ht="42" customHeight="1">
      <c r="A724" s="4" t="s">
        <v>1924</v>
      </c>
      <c r="B724" s="5" t="s">
        <v>1925</v>
      </c>
      <c r="C724" s="5" t="s">
        <v>46</v>
      </c>
      <c r="D724" s="5" t="s">
        <v>19</v>
      </c>
      <c r="E724" s="5" t="s">
        <v>555</v>
      </c>
      <c r="F724" s="9">
        <v>83</v>
      </c>
      <c r="G724" s="9">
        <v>894</v>
      </c>
      <c r="H724" s="5" t="s">
        <v>21</v>
      </c>
      <c r="I724" s="5" t="s">
        <v>1926</v>
      </c>
      <c r="J724" s="12" t="str">
        <f>HYPERLINK("https://www.boe.es/gazeta/dias/1803/10/14/pdfs/GMD-1803-83.pdf#page=6","Abrir facsímil")</f>
        <v>Abrir facsímil</v>
      </c>
      <c r="K724" s="15" t="s">
        <v>23</v>
      </c>
    </row>
    <row r="725" spans="1:11" ht="42" customHeight="1">
      <c r="A725" s="4" t="s">
        <v>1927</v>
      </c>
      <c r="B725" s="5" t="s">
        <v>1927</v>
      </c>
      <c r="C725" s="5" t="s">
        <v>80</v>
      </c>
      <c r="D725" s="5" t="s">
        <v>81</v>
      </c>
      <c r="E725" s="5" t="s">
        <v>509</v>
      </c>
      <c r="F725" s="9">
        <v>6</v>
      </c>
      <c r="G725" s="9">
        <v>53</v>
      </c>
      <c r="H725" s="5" t="s">
        <v>21</v>
      </c>
      <c r="I725" s="5" t="s">
        <v>1928</v>
      </c>
      <c r="J725" s="12" t="str">
        <f>HYPERLINK("https://www.boe.es/gazeta/dias/1803/01/21/pdfs/GMD-1803-6.pdf#page=5","Abrir facsímil")</f>
        <v>Abrir facsímil</v>
      </c>
      <c r="K725" s="15" t="s">
        <v>23</v>
      </c>
    </row>
    <row r="726" spans="1:11" ht="42" customHeight="1">
      <c r="A726" s="4" t="s">
        <v>1929</v>
      </c>
      <c r="B726" s="5" t="s">
        <v>1930</v>
      </c>
      <c r="C726" s="5" t="s">
        <v>51</v>
      </c>
      <c r="D726" s="5" t="s">
        <v>52</v>
      </c>
      <c r="E726" s="5" t="s">
        <v>395</v>
      </c>
      <c r="F726" s="9">
        <v>13</v>
      </c>
      <c r="G726" s="9">
        <v>136</v>
      </c>
      <c r="H726" s="5" t="s">
        <v>21</v>
      </c>
      <c r="I726" s="5" t="s">
        <v>1931</v>
      </c>
      <c r="J726" s="12" t="str">
        <f>HYPERLINK("https://www.boe.es/gazeta/dias/1803/02/15/pdfs/GMD-1803-13.pdf#page=12","Abrir facsímil")</f>
        <v>Abrir facsímil</v>
      </c>
      <c r="K726" s="15" t="s">
        <v>23</v>
      </c>
    </row>
    <row r="727" spans="1:11" ht="42" customHeight="1">
      <c r="A727" s="4" t="s">
        <v>1932</v>
      </c>
      <c r="B727" s="5" t="s">
        <v>1932</v>
      </c>
      <c r="C727" s="5" t="s">
        <v>26</v>
      </c>
      <c r="D727" s="5" t="s">
        <v>27</v>
      </c>
      <c r="E727" s="5" t="s">
        <v>395</v>
      </c>
      <c r="F727" s="9">
        <v>13</v>
      </c>
      <c r="G727" s="9">
        <v>126</v>
      </c>
      <c r="H727" s="5" t="s">
        <v>21</v>
      </c>
      <c r="I727" s="5" t="s">
        <v>1933</v>
      </c>
      <c r="J727" s="12" t="str">
        <f>HYPERLINK("https://www.boe.es/gazeta/dias/1803/02/15/pdfs/GMD-1803-13.pdf#page=2","Abrir facsímil")</f>
        <v>Abrir facsímil</v>
      </c>
      <c r="K727" s="15" t="s">
        <v>23</v>
      </c>
    </row>
    <row r="728" spans="1:11" ht="42" customHeight="1">
      <c r="A728" s="4" t="s">
        <v>1934</v>
      </c>
      <c r="B728" s="5" t="s">
        <v>1935</v>
      </c>
      <c r="C728" s="5" t="s">
        <v>40</v>
      </c>
      <c r="D728" s="5" t="s">
        <v>41</v>
      </c>
      <c r="E728" s="5" t="s">
        <v>263</v>
      </c>
      <c r="F728" s="9">
        <v>75</v>
      </c>
      <c r="G728" s="9">
        <v>809</v>
      </c>
      <c r="H728" s="5" t="s">
        <v>21</v>
      </c>
      <c r="I728" s="5" t="s">
        <v>1936</v>
      </c>
      <c r="J728" s="12" t="str">
        <f>HYPERLINK("https://www.boe.es/gazeta/dias/1803/09/16/pdfs/GMD-1803-75.pdf#page=5","Abrir facsímil")</f>
        <v>Abrir facsímil</v>
      </c>
      <c r="K728" s="15" t="s">
        <v>23</v>
      </c>
    </row>
    <row r="729" spans="1:11" ht="42" customHeight="1">
      <c r="A729" s="4" t="s">
        <v>1937</v>
      </c>
      <c r="B729" s="5" t="s">
        <v>1938</v>
      </c>
      <c r="C729" s="5" t="s">
        <v>80</v>
      </c>
      <c r="D729" s="5" t="s">
        <v>81</v>
      </c>
      <c r="E729" s="5" t="s">
        <v>332</v>
      </c>
      <c r="F729" s="9">
        <v>11</v>
      </c>
      <c r="G729" s="9">
        <v>111</v>
      </c>
      <c r="H729" s="5" t="s">
        <v>21</v>
      </c>
      <c r="I729" s="5" t="s">
        <v>1939</v>
      </c>
      <c r="J729" s="12" t="str">
        <f>HYPERLINK("https://www.boe.es/gazeta/dias/1803/02/08/pdfs/GMD-1803-11.pdf#page=7","Abrir facsímil")</f>
        <v>Abrir facsímil</v>
      </c>
      <c r="K729" s="15" t="s">
        <v>23</v>
      </c>
    </row>
    <row r="730" spans="1:11" ht="42" customHeight="1">
      <c r="A730" s="4" t="s">
        <v>1940</v>
      </c>
      <c r="B730" s="5" t="s">
        <v>1940</v>
      </c>
      <c r="C730" s="5" t="s">
        <v>26</v>
      </c>
      <c r="D730" s="5" t="s">
        <v>27</v>
      </c>
      <c r="E730" s="5" t="s">
        <v>199</v>
      </c>
      <c r="F730" s="9">
        <v>88</v>
      </c>
      <c r="G730" s="9">
        <v>946</v>
      </c>
      <c r="H730" s="5" t="s">
        <v>21</v>
      </c>
      <c r="I730" s="5" t="s">
        <v>1941</v>
      </c>
      <c r="J730" s="12" t="str">
        <f>HYPERLINK("https://www.boe.es/gazeta/dias/1803/11/01/pdfs/GMD-1803-88.pdf#page=6","Abrir facsímil")</f>
        <v>Abrir facsímil</v>
      </c>
      <c r="K730" s="15" t="s">
        <v>23</v>
      </c>
    </row>
    <row r="731" spans="1:11" ht="42" customHeight="1">
      <c r="A731" s="4" t="s">
        <v>1942</v>
      </c>
      <c r="B731" s="5" t="s">
        <v>1943</v>
      </c>
      <c r="C731" s="5" t="s">
        <v>51</v>
      </c>
      <c r="D731" s="5" t="s">
        <v>52</v>
      </c>
      <c r="E731" s="5" t="s">
        <v>189</v>
      </c>
      <c r="F731" s="9">
        <v>9</v>
      </c>
      <c r="G731" s="9">
        <v>92</v>
      </c>
      <c r="H731" s="5" t="s">
        <v>21</v>
      </c>
      <c r="I731" s="5" t="s">
        <v>1944</v>
      </c>
      <c r="J731" s="12" t="str">
        <f>HYPERLINK("https://www.boe.es/gazeta/dias/1803/02/01/pdfs/GMD-1803-9.pdf#page=8","Abrir facsímil")</f>
        <v>Abrir facsímil</v>
      </c>
      <c r="K731" s="15" t="s">
        <v>23</v>
      </c>
    </row>
    <row r="732" spans="1:11" ht="42" customHeight="1">
      <c r="A732" s="4" t="s">
        <v>1945</v>
      </c>
      <c r="B732" s="5" t="s">
        <v>1946</v>
      </c>
      <c r="C732" s="5" t="s">
        <v>26</v>
      </c>
      <c r="D732" s="5" t="s">
        <v>27</v>
      </c>
      <c r="E732" s="5" t="s">
        <v>138</v>
      </c>
      <c r="F732" s="9">
        <v>68</v>
      </c>
      <c r="G732" s="9">
        <v>742</v>
      </c>
      <c r="H732" s="5" t="s">
        <v>21</v>
      </c>
      <c r="I732" s="5" t="s">
        <v>1947</v>
      </c>
      <c r="J732" s="12" t="str">
        <f>HYPERLINK("https://www.boe.es/gazeta/dias/1803/08/26/pdfs/GMD-1803-68.pdf#page=10","Abrir facsímil")</f>
        <v>Abrir facsímil</v>
      </c>
      <c r="K732" s="15" t="s">
        <v>23</v>
      </c>
    </row>
    <row r="733" spans="1:11" ht="42" customHeight="1">
      <c r="A733" s="4" t="s">
        <v>1948</v>
      </c>
      <c r="B733" s="5" t="s">
        <v>1948</v>
      </c>
      <c r="C733" s="5" t="s">
        <v>26</v>
      </c>
      <c r="D733" s="5" t="s">
        <v>27</v>
      </c>
      <c r="E733" s="5" t="s">
        <v>496</v>
      </c>
      <c r="F733" s="9">
        <v>90</v>
      </c>
      <c r="G733" s="9">
        <v>965</v>
      </c>
      <c r="H733" s="5" t="s">
        <v>21</v>
      </c>
      <c r="I733" s="5" t="s">
        <v>1949</v>
      </c>
      <c r="J733" s="12" t="str">
        <f>HYPERLINK("https://www.boe.es/gazeta/dias/1803/11/08/pdfs/GMD-1803-90.pdf#page=5","Abrir facsímil")</f>
        <v>Abrir facsímil</v>
      </c>
      <c r="K733" s="15" t="s">
        <v>23</v>
      </c>
    </row>
    <row r="734" spans="1:11" ht="42" customHeight="1">
      <c r="A734" s="4" t="s">
        <v>1950</v>
      </c>
      <c r="B734" s="5" t="s">
        <v>1951</v>
      </c>
      <c r="C734" s="5" t="s">
        <v>51</v>
      </c>
      <c r="D734" s="5" t="s">
        <v>52</v>
      </c>
      <c r="E734" s="5" t="s">
        <v>148</v>
      </c>
      <c r="F734" s="9">
        <v>15</v>
      </c>
      <c r="G734" s="9">
        <v>157</v>
      </c>
      <c r="H734" s="5" t="s">
        <v>21</v>
      </c>
      <c r="I734" s="5" t="s">
        <v>1952</v>
      </c>
      <c r="J734" s="12" t="str">
        <f>HYPERLINK("https://www.boe.es/gazeta/dias/1803/02/22/pdfs/GMD-1803-15.pdf#page=9","Abrir facsímil")</f>
        <v>Abrir facsímil</v>
      </c>
      <c r="K734" s="15" t="s">
        <v>23</v>
      </c>
    </row>
    <row r="735" spans="1:11" ht="42" customHeight="1">
      <c r="A735" s="4" t="s">
        <v>1953</v>
      </c>
      <c r="B735" s="5" t="s">
        <v>1953</v>
      </c>
      <c r="C735" s="5" t="s">
        <v>51</v>
      </c>
      <c r="D735" s="5" t="s">
        <v>52</v>
      </c>
      <c r="E735" s="5" t="s">
        <v>514</v>
      </c>
      <c r="F735" s="9">
        <v>42</v>
      </c>
      <c r="G735" s="9">
        <v>440</v>
      </c>
      <c r="H735" s="5" t="s">
        <v>21</v>
      </c>
      <c r="I735" s="5" t="s">
        <v>1954</v>
      </c>
      <c r="J735" s="12" t="str">
        <f>HYPERLINK("https://www.boe.es/gazeta/dias/1803/05/27/pdfs/GMD-1803-42.pdf#page=8","Abrir facsímil")</f>
        <v>Abrir facsímil</v>
      </c>
      <c r="K735" s="15" t="s">
        <v>23</v>
      </c>
    </row>
    <row r="736" spans="1:11" ht="42" customHeight="1">
      <c r="A736" s="4" t="s">
        <v>1955</v>
      </c>
      <c r="B736" s="5" t="s">
        <v>1956</v>
      </c>
      <c r="C736" s="5" t="s">
        <v>26</v>
      </c>
      <c r="D736" s="5" t="s">
        <v>27</v>
      </c>
      <c r="E736" s="5" t="s">
        <v>250</v>
      </c>
      <c r="F736" s="9">
        <v>4</v>
      </c>
      <c r="G736" s="9">
        <v>35</v>
      </c>
      <c r="H736" s="5" t="s">
        <v>21</v>
      </c>
      <c r="I736" s="5" t="s">
        <v>1957</v>
      </c>
      <c r="J736" s="12" t="str">
        <f>HYPERLINK("https://www.boe.es/gazeta/dias/1803/01/14/pdfs/GMD-1803-4.pdf#page=7","Abrir facsímil")</f>
        <v>Abrir facsímil</v>
      </c>
      <c r="K736" s="15" t="s">
        <v>23</v>
      </c>
    </row>
    <row r="737" spans="1:11" ht="42" customHeight="1">
      <c r="A737" s="4" t="s">
        <v>1958</v>
      </c>
      <c r="B737" s="5" t="s">
        <v>1959</v>
      </c>
      <c r="C737" s="5" t="s">
        <v>80</v>
      </c>
      <c r="D737" s="5" t="s">
        <v>81</v>
      </c>
      <c r="E737" s="5" t="s">
        <v>369</v>
      </c>
      <c r="F737" s="9">
        <v>100</v>
      </c>
      <c r="G737" s="9">
        <v>1075</v>
      </c>
      <c r="H737" s="5" t="s">
        <v>21</v>
      </c>
      <c r="I737" s="5" t="s">
        <v>1960</v>
      </c>
      <c r="J737" s="12" t="str">
        <f>HYPERLINK("https://www.boe.es/gazeta/dias/1803/12/13/pdfs/GMD-1803-100.pdf#page=11","Abrir facsímil")</f>
        <v>Abrir facsímil</v>
      </c>
      <c r="K737" s="15" t="s">
        <v>23</v>
      </c>
    </row>
    <row r="738" spans="1:11" ht="42" customHeight="1">
      <c r="A738" s="4" t="s">
        <v>1961</v>
      </c>
      <c r="B738" s="5" t="s">
        <v>1962</v>
      </c>
      <c r="C738" s="5" t="s">
        <v>26</v>
      </c>
      <c r="D738" s="5" t="s">
        <v>27</v>
      </c>
      <c r="E738" s="5" t="s">
        <v>85</v>
      </c>
      <c r="F738" s="9">
        <v>49</v>
      </c>
      <c r="G738" s="9">
        <v>522</v>
      </c>
      <c r="H738" s="5" t="s">
        <v>21</v>
      </c>
      <c r="I738" s="5" t="s">
        <v>1963</v>
      </c>
      <c r="J738" s="12" t="str">
        <f>HYPERLINK("https://www.boe.es/gazeta/dias/1803/06/21/pdfs/GMD-1803-49.pdf#page=10","Abrir facsímil")</f>
        <v>Abrir facsímil</v>
      </c>
      <c r="K738" s="15" t="s">
        <v>23</v>
      </c>
    </row>
    <row r="739" spans="1:11" ht="42" customHeight="1">
      <c r="A739" s="4" t="s">
        <v>1964</v>
      </c>
      <c r="B739" s="5" t="s">
        <v>1965</v>
      </c>
      <c r="C739" s="5" t="s">
        <v>18</v>
      </c>
      <c r="D739" s="5" t="s">
        <v>19</v>
      </c>
      <c r="E739" s="5" t="s">
        <v>523</v>
      </c>
      <c r="F739" s="9">
        <v>101</v>
      </c>
      <c r="G739" s="9">
        <v>1086</v>
      </c>
      <c r="H739" s="5" t="s">
        <v>21</v>
      </c>
      <c r="I739" s="5" t="s">
        <v>1966</v>
      </c>
      <c r="J739" s="12" t="str">
        <f>HYPERLINK("https://www.boe.es/gazeta/dias/1803/12/16/pdfs/GMD-1803-101.pdf#page=10","Abrir facsímil")</f>
        <v>Abrir facsímil</v>
      </c>
      <c r="K739" s="15" t="s">
        <v>23</v>
      </c>
    </row>
    <row r="740" spans="1:11" ht="42" customHeight="1">
      <c r="A740" s="4" t="s">
        <v>1967</v>
      </c>
      <c r="B740" s="5" t="s">
        <v>1967</v>
      </c>
      <c r="C740" s="5" t="s">
        <v>80</v>
      </c>
      <c r="D740" s="5" t="s">
        <v>81</v>
      </c>
      <c r="E740" s="5" t="s">
        <v>619</v>
      </c>
      <c r="F740" s="9">
        <v>53</v>
      </c>
      <c r="G740" s="9">
        <v>580</v>
      </c>
      <c r="H740" s="5" t="s">
        <v>21</v>
      </c>
      <c r="I740" s="5" t="s">
        <v>1968</v>
      </c>
      <c r="J740" s="12" t="str">
        <f>HYPERLINK("https://www.boe.es/gazeta/dias/1803/07/05/pdfs/GMD-1803-53.pdf#page=12","Abrir facsímil")</f>
        <v>Abrir facsímil</v>
      </c>
      <c r="K740" s="15" t="s">
        <v>23</v>
      </c>
    </row>
    <row r="741" spans="1:11" ht="42" customHeight="1">
      <c r="A741" s="4" t="s">
        <v>1969</v>
      </c>
      <c r="B741" s="5" t="s">
        <v>1969</v>
      </c>
      <c r="C741" s="5" t="s">
        <v>225</v>
      </c>
      <c r="D741" s="5" t="s">
        <v>226</v>
      </c>
      <c r="E741" s="5" t="s">
        <v>191</v>
      </c>
      <c r="F741" s="9">
        <v>34</v>
      </c>
      <c r="G741" s="9" t="s">
        <v>1970</v>
      </c>
      <c r="H741" s="5" t="s">
        <v>21</v>
      </c>
      <c r="I741" s="5" t="s">
        <v>1971</v>
      </c>
      <c r="J741" s="12" t="str">
        <f>HYPERLINK("https://www.boe.es/gazeta/dias/1803/04/29/pdfs/GMD-C-1803-34.pdf#page=10","Abrir facsímil")</f>
        <v>Abrir facsímil</v>
      </c>
      <c r="K741" s="15" t="s">
        <v>23</v>
      </c>
    </row>
    <row r="742" spans="1:11" ht="42" customHeight="1">
      <c r="A742" s="4" t="s">
        <v>1969</v>
      </c>
      <c r="B742" s="5" t="s">
        <v>1969</v>
      </c>
      <c r="C742" s="5" t="s">
        <v>225</v>
      </c>
      <c r="D742" s="5" t="s">
        <v>226</v>
      </c>
      <c r="E742" s="5" t="s">
        <v>191</v>
      </c>
      <c r="F742" s="9">
        <v>34</v>
      </c>
      <c r="G742" s="9" t="s">
        <v>1972</v>
      </c>
      <c r="H742" s="5" t="s">
        <v>21</v>
      </c>
      <c r="I742" s="5" t="s">
        <v>1973</v>
      </c>
      <c r="J742" s="12" t="str">
        <f>HYPERLINK("https://www.boe.es/gazeta/dias/1803/04/29/pdfs/GMD-C-1803-34.pdf#page=9","Abrir facsímil")</f>
        <v>Abrir facsímil</v>
      </c>
      <c r="K742" s="15" t="s">
        <v>23</v>
      </c>
    </row>
    <row r="743" spans="1:11" ht="42" customHeight="1">
      <c r="A743" s="4" t="s">
        <v>1974</v>
      </c>
      <c r="B743" s="5" t="s">
        <v>1974</v>
      </c>
      <c r="C743" s="5" t="s">
        <v>40</v>
      </c>
      <c r="D743" s="5" t="s">
        <v>41</v>
      </c>
      <c r="E743" s="5" t="s">
        <v>191</v>
      </c>
      <c r="F743" s="9">
        <v>34</v>
      </c>
      <c r="G743" s="9">
        <v>358</v>
      </c>
      <c r="H743" s="5" t="s">
        <v>21</v>
      </c>
      <c r="I743" s="5" t="s">
        <v>1975</v>
      </c>
      <c r="J743" s="12" t="str">
        <f>HYPERLINK("https://www.boe.es/gazeta/dias/1803/04/29/pdfs/GMD-1803-34.pdf#page=6","Abrir facsímil")</f>
        <v>Abrir facsímil</v>
      </c>
      <c r="K743" s="15" t="s">
        <v>23</v>
      </c>
    </row>
    <row r="744" spans="1:11" ht="42" customHeight="1">
      <c r="A744" s="4" t="s">
        <v>1976</v>
      </c>
      <c r="B744" s="5" t="s">
        <v>1976</v>
      </c>
      <c r="C744" s="5" t="s">
        <v>26</v>
      </c>
      <c r="D744" s="5" t="s">
        <v>27</v>
      </c>
      <c r="E744" s="5" t="s">
        <v>191</v>
      </c>
      <c r="F744" s="9">
        <v>34</v>
      </c>
      <c r="G744" s="9">
        <v>358</v>
      </c>
      <c r="H744" s="5" t="s">
        <v>21</v>
      </c>
      <c r="I744" s="5" t="s">
        <v>1977</v>
      </c>
      <c r="J744" s="12" t="str">
        <f>HYPERLINK("https://www.boe.es/gazeta/dias/1803/04/29/pdfs/GMD-1803-34.pdf#page=6","Abrir facsímil")</f>
        <v>Abrir facsímil</v>
      </c>
      <c r="K744" s="15" t="s">
        <v>23</v>
      </c>
    </row>
    <row r="745" spans="1:11" ht="42" customHeight="1">
      <c r="A745" s="4" t="s">
        <v>1978</v>
      </c>
      <c r="B745" s="5" t="s">
        <v>1978</v>
      </c>
      <c r="C745" s="5" t="s">
        <v>18</v>
      </c>
      <c r="D745" s="5" t="s">
        <v>19</v>
      </c>
      <c r="E745" s="5" t="s">
        <v>191</v>
      </c>
      <c r="F745" s="9">
        <v>34</v>
      </c>
      <c r="G745" s="9">
        <v>358</v>
      </c>
      <c r="H745" s="5" t="s">
        <v>21</v>
      </c>
      <c r="I745" s="5" t="s">
        <v>1979</v>
      </c>
      <c r="J745" s="12" t="str">
        <f>HYPERLINK("https://www.boe.es/gazeta/dias/1803/04/29/pdfs/GMD-1803-34.pdf#page=6","Abrir facsímil")</f>
        <v>Abrir facsímil</v>
      </c>
      <c r="K745" s="15" t="s">
        <v>23</v>
      </c>
    </row>
    <row r="746" spans="1:11" ht="42" customHeight="1">
      <c r="A746" s="4" t="s">
        <v>1980</v>
      </c>
      <c r="B746" s="5" t="s">
        <v>1981</v>
      </c>
      <c r="C746" s="5" t="s">
        <v>80</v>
      </c>
      <c r="D746" s="5" t="s">
        <v>81</v>
      </c>
      <c r="E746" s="5" t="s">
        <v>191</v>
      </c>
      <c r="F746" s="9">
        <v>34</v>
      </c>
      <c r="G746" s="9" t="s">
        <v>227</v>
      </c>
      <c r="H746" s="5" t="s">
        <v>21</v>
      </c>
      <c r="I746" s="5" t="s">
        <v>1982</v>
      </c>
      <c r="J746" s="12" t="str">
        <f>HYPERLINK("https://www.boe.es/gazeta/dias/1803/04/29/pdfs/GMD-C-1803-34.pdf#page=7","Abrir facsímil")</f>
        <v>Abrir facsímil</v>
      </c>
      <c r="K746" s="15" t="s">
        <v>23</v>
      </c>
    </row>
    <row r="747" spans="1:11" ht="42" customHeight="1">
      <c r="A747" s="4" t="s">
        <v>1983</v>
      </c>
      <c r="B747" s="5" t="s">
        <v>1984</v>
      </c>
      <c r="C747" s="5" t="s">
        <v>225</v>
      </c>
      <c r="D747" s="5" t="s">
        <v>226</v>
      </c>
      <c r="E747" s="5" t="s">
        <v>191</v>
      </c>
      <c r="F747" s="9">
        <v>34</v>
      </c>
      <c r="G747" s="9" t="s">
        <v>1985</v>
      </c>
      <c r="H747" s="5" t="s">
        <v>21</v>
      </c>
      <c r="I747" s="5" t="s">
        <v>1986</v>
      </c>
      <c r="J747" s="12" t="str">
        <f>HYPERLINK("https://www.boe.es/gazeta/dias/1803/04/29/pdfs/GMD-C-1803-34.pdf#page=8","Abrir facsímil")</f>
        <v>Abrir facsímil</v>
      </c>
      <c r="K747" s="15" t="s">
        <v>23</v>
      </c>
    </row>
    <row r="748" spans="1:11" ht="42" customHeight="1">
      <c r="A748" s="4" t="s">
        <v>1987</v>
      </c>
      <c r="B748" s="5" t="s">
        <v>1988</v>
      </c>
      <c r="C748" s="5" t="s">
        <v>51</v>
      </c>
      <c r="D748" s="5" t="s">
        <v>52</v>
      </c>
      <c r="E748" s="5" t="s">
        <v>882</v>
      </c>
      <c r="F748" s="9">
        <v>60</v>
      </c>
      <c r="G748" s="9">
        <v>660</v>
      </c>
      <c r="H748" s="5" t="s">
        <v>21</v>
      </c>
      <c r="I748" s="5" t="s">
        <v>1989</v>
      </c>
      <c r="J748" s="12" t="str">
        <f>HYPERLINK("https://www.boe.es/gazeta/dias/1803/07/29/pdfs/GMD-1803-60.pdf#page=12","Abrir facsímil")</f>
        <v>Abrir facsímil</v>
      </c>
      <c r="K748" s="15" t="s">
        <v>23</v>
      </c>
    </row>
    <row r="749" spans="1:11" ht="42" customHeight="1">
      <c r="A749" s="4" t="s">
        <v>1990</v>
      </c>
      <c r="B749" s="5" t="s">
        <v>1991</v>
      </c>
      <c r="C749" s="5" t="s">
        <v>18</v>
      </c>
      <c r="D749" s="5" t="s">
        <v>19</v>
      </c>
      <c r="E749" s="5" t="s">
        <v>439</v>
      </c>
      <c r="F749" s="9">
        <v>76</v>
      </c>
      <c r="G749" s="9">
        <v>822</v>
      </c>
      <c r="H749" s="5" t="s">
        <v>21</v>
      </c>
      <c r="I749" s="5" t="s">
        <v>1992</v>
      </c>
      <c r="J749" s="12" t="str">
        <f>HYPERLINK("https://www.boe.es/gazeta/dias/1803/09/20/pdfs/GMD-1803-76.pdf#page=10","Abrir facsímil")</f>
        <v>Abrir facsímil</v>
      </c>
      <c r="K749" s="15" t="s">
        <v>23</v>
      </c>
    </row>
    <row r="750" spans="1:11" ht="42" customHeight="1">
      <c r="A750" s="4" t="s">
        <v>1993</v>
      </c>
      <c r="B750" s="5" t="s">
        <v>1994</v>
      </c>
      <c r="C750" s="5" t="s">
        <v>51</v>
      </c>
      <c r="D750" s="5" t="s">
        <v>52</v>
      </c>
      <c r="E750" s="5" t="s">
        <v>317</v>
      </c>
      <c r="F750" s="9">
        <v>12</v>
      </c>
      <c r="G750" s="9">
        <v>122</v>
      </c>
      <c r="H750" s="5" t="s">
        <v>21</v>
      </c>
      <c r="I750" s="5" t="s">
        <v>1995</v>
      </c>
      <c r="J750" s="12" t="str">
        <f>HYPERLINK("https://www.boe.es/gazeta/dias/1803/02/11/pdfs/GMD-1803-12.pdf#page=10","Abrir facsímil")</f>
        <v>Abrir facsímil</v>
      </c>
      <c r="K750" s="15" t="s">
        <v>23</v>
      </c>
    </row>
    <row r="751" spans="1:11" ht="42" customHeight="1">
      <c r="A751" s="4" t="s">
        <v>1996</v>
      </c>
      <c r="B751" s="5" t="s">
        <v>1997</v>
      </c>
      <c r="C751" s="5" t="s">
        <v>26</v>
      </c>
      <c r="D751" s="5" t="s">
        <v>27</v>
      </c>
      <c r="E751" s="5" t="s">
        <v>439</v>
      </c>
      <c r="F751" s="9">
        <v>76</v>
      </c>
      <c r="G751" s="9">
        <v>822</v>
      </c>
      <c r="H751" s="5" t="s">
        <v>21</v>
      </c>
      <c r="I751" s="5" t="s">
        <v>1998</v>
      </c>
      <c r="J751" s="12" t="str">
        <f>HYPERLINK("https://www.boe.es/gazeta/dias/1803/09/20/pdfs/GMD-1803-76.pdf#page=10","Abrir facsímil")</f>
        <v>Abrir facsímil</v>
      </c>
      <c r="K751" s="15" t="s">
        <v>23</v>
      </c>
    </row>
    <row r="752" spans="1:11" ht="42" customHeight="1">
      <c r="A752" s="4" t="s">
        <v>1996</v>
      </c>
      <c r="B752" s="5" t="s">
        <v>1997</v>
      </c>
      <c r="C752" s="5" t="s">
        <v>26</v>
      </c>
      <c r="D752" s="5" t="s">
        <v>27</v>
      </c>
      <c r="E752" s="5" t="s">
        <v>403</v>
      </c>
      <c r="F752" s="9">
        <v>91</v>
      </c>
      <c r="G752" s="9">
        <v>976</v>
      </c>
      <c r="H752" s="5" t="s">
        <v>21</v>
      </c>
      <c r="I752" s="5" t="s">
        <v>1999</v>
      </c>
      <c r="J752" s="12" t="str">
        <f>HYPERLINK("https://www.boe.es/gazeta/dias/1803/11/11/pdfs/GMD-1803-91.pdf#page=8","Abrir facsímil")</f>
        <v>Abrir facsímil</v>
      </c>
      <c r="K752" s="15" t="s">
        <v>23</v>
      </c>
    </row>
    <row r="753" spans="1:11" ht="42" customHeight="1">
      <c r="A753" s="4" t="s">
        <v>2000</v>
      </c>
      <c r="B753" s="5" t="s">
        <v>2001</v>
      </c>
      <c r="C753" s="5" t="s">
        <v>51</v>
      </c>
      <c r="D753" s="5" t="s">
        <v>52</v>
      </c>
      <c r="E753" s="5" t="s">
        <v>174</v>
      </c>
      <c r="F753" s="9">
        <v>21</v>
      </c>
      <c r="G753" s="9">
        <v>223</v>
      </c>
      <c r="H753" s="5" t="s">
        <v>21</v>
      </c>
      <c r="I753" s="5" t="s">
        <v>2002</v>
      </c>
      <c r="J753" s="12" t="str">
        <f>HYPERLINK("https://www.boe.es/gazeta/dias/1803/03/15/pdfs/GMD-1803-21.pdf#page=7","Abrir facsímil")</f>
        <v>Abrir facsímil</v>
      </c>
      <c r="K753" s="15" t="s">
        <v>23</v>
      </c>
    </row>
    <row r="754" spans="1:11" ht="42" customHeight="1">
      <c r="A754" s="4" t="s">
        <v>2003</v>
      </c>
      <c r="B754" s="5" t="s">
        <v>2004</v>
      </c>
      <c r="C754" s="5" t="s">
        <v>26</v>
      </c>
      <c r="D754" s="5" t="s">
        <v>27</v>
      </c>
      <c r="E754" s="5" t="s">
        <v>207</v>
      </c>
      <c r="F754" s="9">
        <v>27</v>
      </c>
      <c r="G754" s="9">
        <v>292</v>
      </c>
      <c r="H754" s="5" t="s">
        <v>21</v>
      </c>
      <c r="I754" s="5" t="s">
        <v>2005</v>
      </c>
      <c r="J754" s="12" t="str">
        <f>HYPERLINK("https://www.boe.es/gazeta/dias/1803/04/05/pdfs/GMD-1803-27.pdf#page=8","Abrir facsímil")</f>
        <v>Abrir facsímil</v>
      </c>
      <c r="K754" s="15" t="s">
        <v>23</v>
      </c>
    </row>
    <row r="755" spans="1:11" ht="42" customHeight="1">
      <c r="A755" s="4" t="s">
        <v>2006</v>
      </c>
      <c r="B755" s="5" t="s">
        <v>2007</v>
      </c>
      <c r="C755" s="5" t="s">
        <v>80</v>
      </c>
      <c r="D755" s="5" t="s">
        <v>81</v>
      </c>
      <c r="E755" s="5" t="s">
        <v>967</v>
      </c>
      <c r="F755" s="9">
        <v>35</v>
      </c>
      <c r="G755" s="9">
        <v>368</v>
      </c>
      <c r="H755" s="5" t="s">
        <v>21</v>
      </c>
      <c r="I755" s="5" t="s">
        <v>2008</v>
      </c>
      <c r="J755" s="12" t="str">
        <f>HYPERLINK("https://www.boe.es/gazeta/dias/1803/05/03/pdfs/GMD-1803-35.pdf#page=8","Abrir facsímil")</f>
        <v>Abrir facsímil</v>
      </c>
      <c r="K755" s="15" t="s">
        <v>23</v>
      </c>
    </row>
    <row r="756" spans="1:11" ht="42" customHeight="1">
      <c r="A756" s="4" t="s">
        <v>2009</v>
      </c>
      <c r="B756" s="5" t="s">
        <v>2010</v>
      </c>
      <c r="C756" s="5" t="s">
        <v>26</v>
      </c>
      <c r="D756" s="5" t="s">
        <v>27</v>
      </c>
      <c r="E756" s="5" t="s">
        <v>285</v>
      </c>
      <c r="F756" s="9">
        <v>5</v>
      </c>
      <c r="G756" s="9">
        <v>47</v>
      </c>
      <c r="H756" s="5" t="s">
        <v>21</v>
      </c>
      <c r="I756" s="5" t="s">
        <v>2011</v>
      </c>
      <c r="J756" s="12" t="str">
        <f>HYPERLINK("https://www.boe.es/gazeta/dias/1803/01/18/pdfs/GMD-1803-5.pdf#page=11","Abrir facsímil")</f>
        <v>Abrir facsímil</v>
      </c>
      <c r="K756" s="15" t="s">
        <v>23</v>
      </c>
    </row>
    <row r="757" spans="1:11" ht="42" customHeight="1">
      <c r="A757" s="4" t="s">
        <v>2012</v>
      </c>
      <c r="B757" s="5" t="s">
        <v>2013</v>
      </c>
      <c r="C757" s="5" t="s">
        <v>51</v>
      </c>
      <c r="D757" s="5" t="s">
        <v>52</v>
      </c>
      <c r="E757" s="5" t="s">
        <v>509</v>
      </c>
      <c r="F757" s="9">
        <v>6</v>
      </c>
      <c r="G757" s="9">
        <v>56</v>
      </c>
      <c r="H757" s="5" t="s">
        <v>21</v>
      </c>
      <c r="I757" s="5" t="s">
        <v>2014</v>
      </c>
      <c r="J757" s="12" t="str">
        <f>HYPERLINK("https://www.boe.es/gazeta/dias/1803/01/21/pdfs/GMD-1803-6.pdf#page=8","Abrir facsímil")</f>
        <v>Abrir facsímil</v>
      </c>
      <c r="K757" s="15" t="s">
        <v>23</v>
      </c>
    </row>
    <row r="758" spans="1:11" ht="42" customHeight="1">
      <c r="A758" s="4" t="s">
        <v>2012</v>
      </c>
      <c r="B758" s="5" t="s">
        <v>2013</v>
      </c>
      <c r="C758" s="5" t="s">
        <v>51</v>
      </c>
      <c r="D758" s="5" t="s">
        <v>52</v>
      </c>
      <c r="E758" s="5" t="s">
        <v>523</v>
      </c>
      <c r="F758" s="9">
        <v>101</v>
      </c>
      <c r="G758" s="9">
        <v>1087</v>
      </c>
      <c r="H758" s="5" t="s">
        <v>21</v>
      </c>
      <c r="I758" s="5" t="s">
        <v>2015</v>
      </c>
      <c r="J758" s="12" t="str">
        <f>HYPERLINK("https://www.boe.es/gazeta/dias/1803/12/16/pdfs/GMD-1803-101.pdf#page=11","Abrir facsímil")</f>
        <v>Abrir facsímil</v>
      </c>
      <c r="K758" s="15" t="s">
        <v>23</v>
      </c>
    </row>
    <row r="759" spans="1:11" ht="42" customHeight="1">
      <c r="A759" s="4" t="s">
        <v>2016</v>
      </c>
      <c r="B759" s="5" t="s">
        <v>2016</v>
      </c>
      <c r="C759" s="5" t="s">
        <v>26</v>
      </c>
      <c r="D759" s="5" t="s">
        <v>27</v>
      </c>
      <c r="E759" s="5" t="s">
        <v>211</v>
      </c>
      <c r="F759" s="9">
        <v>71</v>
      </c>
      <c r="G759" s="9">
        <v>777</v>
      </c>
      <c r="H759" s="5" t="s">
        <v>21</v>
      </c>
      <c r="I759" s="5" t="s">
        <v>2017</v>
      </c>
      <c r="J759" s="12" t="str">
        <f>HYPERLINK("https://www.boe.es/gazeta/dias/1803/09/06/pdfs/GMD-1803-71.pdf#page=9","Abrir facsímil")</f>
        <v>Abrir facsímil</v>
      </c>
      <c r="K759" s="15" t="s">
        <v>23</v>
      </c>
    </row>
    <row r="760" spans="1:11" ht="42" customHeight="1">
      <c r="A760" s="4" t="s">
        <v>2018</v>
      </c>
      <c r="B760" s="5" t="s">
        <v>2018</v>
      </c>
      <c r="C760" s="5" t="s">
        <v>26</v>
      </c>
      <c r="D760" s="5" t="s">
        <v>27</v>
      </c>
      <c r="E760" s="5" t="s">
        <v>214</v>
      </c>
      <c r="F760" s="9">
        <v>17</v>
      </c>
      <c r="G760" s="9">
        <v>179</v>
      </c>
      <c r="H760" s="5" t="s">
        <v>21</v>
      </c>
      <c r="I760" s="5" t="s">
        <v>2019</v>
      </c>
      <c r="J760" s="12" t="str">
        <f>HYPERLINK("https://www.boe.es/gazeta/dias/1803/03/01/pdfs/GMD-1803-17.pdf#page=11","Abrir facsímil")</f>
        <v>Abrir facsímil</v>
      </c>
      <c r="K760" s="15" t="s">
        <v>23</v>
      </c>
    </row>
    <row r="761" spans="1:11" ht="42" customHeight="1">
      <c r="A761" s="4" t="s">
        <v>2018</v>
      </c>
      <c r="B761" s="5" t="s">
        <v>2018</v>
      </c>
      <c r="C761" s="5" t="s">
        <v>46</v>
      </c>
      <c r="D761" s="5" t="s">
        <v>19</v>
      </c>
      <c r="E761" s="5" t="s">
        <v>207</v>
      </c>
      <c r="F761" s="9">
        <v>27</v>
      </c>
      <c r="G761" s="9">
        <v>295</v>
      </c>
      <c r="H761" s="5" t="s">
        <v>21</v>
      </c>
      <c r="I761" s="5" t="s">
        <v>2020</v>
      </c>
      <c r="J761" s="12" t="str">
        <f>HYPERLINK("https://www.boe.es/gazeta/dias/1803/04/05/pdfs/GMD-1803-27.pdf#page=11","Abrir facsímil")</f>
        <v>Abrir facsímil</v>
      </c>
      <c r="K761" s="15" t="s">
        <v>23</v>
      </c>
    </row>
    <row r="762" spans="1:11" ht="42" customHeight="1">
      <c r="A762" s="4" t="s">
        <v>2021</v>
      </c>
      <c r="B762" s="5" t="s">
        <v>2021</v>
      </c>
      <c r="C762" s="5" t="s">
        <v>26</v>
      </c>
      <c r="D762" s="5" t="s">
        <v>27</v>
      </c>
      <c r="E762" s="5" t="s">
        <v>555</v>
      </c>
      <c r="F762" s="9">
        <v>83</v>
      </c>
      <c r="G762" s="9">
        <v>894</v>
      </c>
      <c r="H762" s="5" t="s">
        <v>21</v>
      </c>
      <c r="I762" s="5" t="s">
        <v>2022</v>
      </c>
      <c r="J762" s="12" t="str">
        <f>HYPERLINK("https://www.boe.es/gazeta/dias/1803/10/14/pdfs/GMD-1803-83.pdf#page=6","Abrir facsímil")</f>
        <v>Abrir facsímil</v>
      </c>
      <c r="K762" s="15" t="s">
        <v>23</v>
      </c>
    </row>
    <row r="763" spans="1:11" ht="42" customHeight="1">
      <c r="A763" s="4" t="s">
        <v>2023</v>
      </c>
      <c r="B763" s="5" t="s">
        <v>2024</v>
      </c>
      <c r="C763" s="5" t="s">
        <v>26</v>
      </c>
      <c r="D763" s="5" t="s">
        <v>27</v>
      </c>
      <c r="E763" s="5" t="s">
        <v>156</v>
      </c>
      <c r="F763" s="9">
        <v>2</v>
      </c>
      <c r="G763" s="9">
        <v>17</v>
      </c>
      <c r="H763" s="5" t="s">
        <v>21</v>
      </c>
      <c r="I763" s="5" t="s">
        <v>2025</v>
      </c>
      <c r="J763" s="12" t="str">
        <f>HYPERLINK("https://www.boe.es/gazeta/dias/1803/01/07/pdfs/GMD-1803-2.pdf#page=9","Abrir facsímil")</f>
        <v>Abrir facsímil</v>
      </c>
      <c r="K763" s="15" t="s">
        <v>23</v>
      </c>
    </row>
    <row r="764" spans="1:11" ht="42" customHeight="1">
      <c r="A764" s="4" t="s">
        <v>2026</v>
      </c>
      <c r="B764" s="5" t="s">
        <v>2027</v>
      </c>
      <c r="C764" s="5" t="s">
        <v>80</v>
      </c>
      <c r="D764" s="5" t="s">
        <v>81</v>
      </c>
      <c r="E764" s="5" t="s">
        <v>178</v>
      </c>
      <c r="F764" s="9">
        <v>36</v>
      </c>
      <c r="G764" s="9">
        <v>376</v>
      </c>
      <c r="H764" s="5" t="s">
        <v>21</v>
      </c>
      <c r="I764" s="5" t="s">
        <v>2028</v>
      </c>
      <c r="J764" s="12" t="str">
        <f>HYPERLINK("https://www.boe.es/gazeta/dias/1803/05/06/pdfs/GMD-1803-36.pdf#page=8","Abrir facsímil")</f>
        <v>Abrir facsímil</v>
      </c>
      <c r="K764" s="15" t="s">
        <v>23</v>
      </c>
    </row>
    <row r="765" spans="1:11" ht="42" customHeight="1">
      <c r="A765" s="4" t="s">
        <v>2029</v>
      </c>
      <c r="B765" s="5" t="s">
        <v>2030</v>
      </c>
      <c r="C765" s="5" t="s">
        <v>40</v>
      </c>
      <c r="D765" s="5" t="s">
        <v>41</v>
      </c>
      <c r="E765" s="5" t="s">
        <v>480</v>
      </c>
      <c r="F765" s="9">
        <v>87</v>
      </c>
      <c r="G765" s="9">
        <v>935</v>
      </c>
      <c r="H765" s="5" t="s">
        <v>21</v>
      </c>
      <c r="I765" s="5" t="s">
        <v>2031</v>
      </c>
      <c r="J765" s="12" t="str">
        <f>HYPERLINK("https://www.boe.es/gazeta/dias/1803/10/28/pdfs/GMD-1803-87.pdf#page=3","Abrir facsímil")</f>
        <v>Abrir facsímil</v>
      </c>
      <c r="K765" s="15" t="s">
        <v>23</v>
      </c>
    </row>
    <row r="766" spans="1:11" ht="42" customHeight="1">
      <c r="A766" s="4" t="s">
        <v>2032</v>
      </c>
      <c r="B766" s="5" t="s">
        <v>2033</v>
      </c>
      <c r="C766" s="5" t="s">
        <v>26</v>
      </c>
      <c r="D766" s="5" t="s">
        <v>27</v>
      </c>
      <c r="E766" s="5" t="s">
        <v>109</v>
      </c>
      <c r="F766" s="9">
        <v>102</v>
      </c>
      <c r="G766" s="9">
        <v>1090</v>
      </c>
      <c r="H766" s="5" t="s">
        <v>21</v>
      </c>
      <c r="I766" s="5" t="s">
        <v>2034</v>
      </c>
      <c r="J766" s="12" t="str">
        <f>HYPERLINK("https://www.boe.es/gazeta/dias/1803/12/20/pdfs/GMD-1803-102.pdf#page=2","Abrir facsímil")</f>
        <v>Abrir facsímil</v>
      </c>
      <c r="K766" s="15" t="s">
        <v>23</v>
      </c>
    </row>
    <row r="767" spans="1:11" ht="42" customHeight="1">
      <c r="A767" s="4" t="s">
        <v>2035</v>
      </c>
      <c r="B767" s="5" t="s">
        <v>2036</v>
      </c>
      <c r="C767" s="5" t="s">
        <v>26</v>
      </c>
      <c r="D767" s="5" t="s">
        <v>27</v>
      </c>
      <c r="E767" s="5" t="s">
        <v>657</v>
      </c>
      <c r="F767" s="9">
        <v>24</v>
      </c>
      <c r="G767" s="9">
        <v>254</v>
      </c>
      <c r="H767" s="5" t="s">
        <v>21</v>
      </c>
      <c r="I767" s="5" t="s">
        <v>2037</v>
      </c>
      <c r="J767" s="12" t="str">
        <f>HYPERLINK("https://www.boe.es/gazeta/dias/1803/03/25/pdfs/GMD-1803-24.pdf#page=6","Abrir facsímil")</f>
        <v>Abrir facsímil</v>
      </c>
      <c r="K767" s="15" t="s">
        <v>23</v>
      </c>
    </row>
    <row r="768" spans="1:11" ht="42" customHeight="1">
      <c r="A768" s="4" t="s">
        <v>2038</v>
      </c>
      <c r="B768" s="5" t="s">
        <v>2039</v>
      </c>
      <c r="C768" s="5" t="s">
        <v>51</v>
      </c>
      <c r="D768" s="5" t="s">
        <v>52</v>
      </c>
      <c r="E768" s="5" t="s">
        <v>178</v>
      </c>
      <c r="F768" s="9">
        <v>36</v>
      </c>
      <c r="G768" s="9">
        <v>376</v>
      </c>
      <c r="H768" s="5" t="s">
        <v>21</v>
      </c>
      <c r="I768" s="5" t="s">
        <v>2040</v>
      </c>
      <c r="J768" s="12" t="str">
        <f>HYPERLINK("https://www.boe.es/gazeta/dias/1803/05/06/pdfs/GMD-1803-36.pdf#page=8","Abrir facsímil")</f>
        <v>Abrir facsímil</v>
      </c>
      <c r="K768" s="15" t="s">
        <v>23</v>
      </c>
    </row>
    <row r="769" spans="1:11" ht="42" customHeight="1">
      <c r="A769" s="4" t="s">
        <v>2041</v>
      </c>
      <c r="B769" s="5" t="s">
        <v>2042</v>
      </c>
      <c r="C769" s="5" t="s">
        <v>26</v>
      </c>
      <c r="D769" s="5" t="s">
        <v>27</v>
      </c>
      <c r="E769" s="5" t="s">
        <v>138</v>
      </c>
      <c r="F769" s="9">
        <v>68</v>
      </c>
      <c r="G769" s="9">
        <v>741</v>
      </c>
      <c r="H769" s="5" t="s">
        <v>21</v>
      </c>
      <c r="I769" s="5" t="s">
        <v>2043</v>
      </c>
      <c r="J769" s="12" t="str">
        <f>HYPERLINK("https://www.boe.es/gazeta/dias/1803/08/26/pdfs/GMD-1803-68.pdf#page=9","Abrir facsímil")</f>
        <v>Abrir facsímil</v>
      </c>
      <c r="K769" s="15" t="s">
        <v>23</v>
      </c>
    </row>
    <row r="770" spans="1:11" ht="42" customHeight="1">
      <c r="A770" s="4" t="s">
        <v>2044</v>
      </c>
      <c r="B770" s="5" t="s">
        <v>2044</v>
      </c>
      <c r="C770" s="5" t="s">
        <v>80</v>
      </c>
      <c r="D770" s="5" t="s">
        <v>81</v>
      </c>
      <c r="E770" s="5" t="s">
        <v>619</v>
      </c>
      <c r="F770" s="9">
        <v>53</v>
      </c>
      <c r="G770" s="9">
        <v>580</v>
      </c>
      <c r="H770" s="5" t="s">
        <v>21</v>
      </c>
      <c r="I770" s="5" t="s">
        <v>2045</v>
      </c>
      <c r="J770" s="12" t="str">
        <f>HYPERLINK("https://www.boe.es/gazeta/dias/1803/07/05/pdfs/GMD-1803-53.pdf#page=12","Abrir facsímil")</f>
        <v>Abrir facsímil</v>
      </c>
      <c r="K770" s="15" t="s">
        <v>23</v>
      </c>
    </row>
    <row r="771" spans="1:11" ht="42" customHeight="1">
      <c r="A771" s="4" t="s">
        <v>2046</v>
      </c>
      <c r="B771" s="5" t="s">
        <v>2047</v>
      </c>
      <c r="C771" s="5" t="s">
        <v>18</v>
      </c>
      <c r="D771" s="5" t="s">
        <v>19</v>
      </c>
      <c r="E771" s="5" t="s">
        <v>160</v>
      </c>
      <c r="F771" s="9">
        <v>81</v>
      </c>
      <c r="G771" s="9">
        <v>872</v>
      </c>
      <c r="H771" s="5" t="s">
        <v>21</v>
      </c>
      <c r="I771" s="5" t="s">
        <v>2048</v>
      </c>
      <c r="J771" s="12" t="str">
        <f>HYPERLINK("https://www.boe.es/gazeta/dias/1803/10/07/pdfs/GMD-1803-81.pdf#page=8","Abrir facsímil")</f>
        <v>Abrir facsímil</v>
      </c>
      <c r="K771" s="15" t="s">
        <v>23</v>
      </c>
    </row>
    <row r="772" spans="1:11" ht="42" customHeight="1">
      <c r="A772" s="4" t="s">
        <v>2049</v>
      </c>
      <c r="B772" s="5" t="s">
        <v>2049</v>
      </c>
      <c r="C772" s="5" t="s">
        <v>26</v>
      </c>
      <c r="D772" s="5" t="s">
        <v>27</v>
      </c>
      <c r="E772" s="5" t="s">
        <v>138</v>
      </c>
      <c r="F772" s="9">
        <v>68</v>
      </c>
      <c r="G772" s="9">
        <v>735</v>
      </c>
      <c r="H772" s="5" t="s">
        <v>21</v>
      </c>
      <c r="I772" s="5" t="s">
        <v>2050</v>
      </c>
      <c r="J772" s="12" t="str">
        <f>HYPERLINK("https://www.boe.es/gazeta/dias/1803/08/26/pdfs/GMD-1803-68.pdf#page=3","Abrir facsímil")</f>
        <v>Abrir facsímil</v>
      </c>
      <c r="K772" s="15" t="s">
        <v>23</v>
      </c>
    </row>
    <row r="773" spans="1:11" ht="42" customHeight="1">
      <c r="A773" s="4" t="s">
        <v>2051</v>
      </c>
      <c r="B773" s="5" t="s">
        <v>2052</v>
      </c>
      <c r="C773" s="5" t="s">
        <v>18</v>
      </c>
      <c r="D773" s="5" t="s">
        <v>19</v>
      </c>
      <c r="E773" s="5" t="s">
        <v>477</v>
      </c>
      <c r="F773" s="9">
        <v>48</v>
      </c>
      <c r="G773" s="9">
        <v>512</v>
      </c>
      <c r="H773" s="5" t="s">
        <v>21</v>
      </c>
      <c r="I773" s="5" t="s">
        <v>2053</v>
      </c>
      <c r="J773" s="12" t="str">
        <f>HYPERLINK("https://www.boe.es/gazeta/dias/1803/06/17/pdfs/GMD-1803-48.pdf#page=12","Abrir facsímil")</f>
        <v>Abrir facsímil</v>
      </c>
      <c r="K773" s="15" t="s">
        <v>23</v>
      </c>
    </row>
    <row r="774" spans="1:11" ht="42" customHeight="1">
      <c r="A774" s="4" t="s">
        <v>2054</v>
      </c>
      <c r="B774" s="5" t="s">
        <v>2055</v>
      </c>
      <c r="C774" s="5" t="s">
        <v>26</v>
      </c>
      <c r="D774" s="5" t="s">
        <v>27</v>
      </c>
      <c r="E774" s="5" t="s">
        <v>207</v>
      </c>
      <c r="F774" s="9">
        <v>27</v>
      </c>
      <c r="G774" s="9">
        <v>293</v>
      </c>
      <c r="H774" s="5" t="s">
        <v>21</v>
      </c>
      <c r="I774" s="5" t="s">
        <v>2056</v>
      </c>
      <c r="J774" s="12" t="str">
        <f>HYPERLINK("https://www.boe.es/gazeta/dias/1803/04/05/pdfs/GMD-1803-27.pdf#page=9","Abrir facsímil")</f>
        <v>Abrir facsímil</v>
      </c>
      <c r="K774" s="15" t="s">
        <v>23</v>
      </c>
    </row>
    <row r="775" spans="1:11" ht="42" customHeight="1">
      <c r="A775" s="4" t="s">
        <v>2057</v>
      </c>
      <c r="B775" s="5" t="s">
        <v>2058</v>
      </c>
      <c r="C775" s="5" t="s">
        <v>26</v>
      </c>
      <c r="D775" s="5" t="s">
        <v>27</v>
      </c>
      <c r="E775" s="5" t="s">
        <v>361</v>
      </c>
      <c r="F775" s="9">
        <v>62</v>
      </c>
      <c r="G775" s="9">
        <v>678</v>
      </c>
      <c r="H775" s="5" t="s">
        <v>21</v>
      </c>
      <c r="I775" s="5" t="s">
        <v>2059</v>
      </c>
      <c r="J775" s="12" t="str">
        <f>HYPERLINK("https://www.boe.es/gazeta/dias/1803/08/05/pdfs/GMD-1803-62.pdf#page=10","Abrir facsímil")</f>
        <v>Abrir facsímil</v>
      </c>
      <c r="K775" s="15" t="s">
        <v>23</v>
      </c>
    </row>
    <row r="776" spans="1:11" ht="42" customHeight="1">
      <c r="A776" s="4" t="s">
        <v>2060</v>
      </c>
      <c r="B776" s="5" t="s">
        <v>2061</v>
      </c>
      <c r="C776" s="5" t="s">
        <v>26</v>
      </c>
      <c r="D776" s="5" t="s">
        <v>27</v>
      </c>
      <c r="E776" s="5" t="s">
        <v>68</v>
      </c>
      <c r="F776" s="9">
        <v>23</v>
      </c>
      <c r="G776" s="9">
        <v>246</v>
      </c>
      <c r="H776" s="5" t="s">
        <v>21</v>
      </c>
      <c r="I776" s="5" t="s">
        <v>2062</v>
      </c>
      <c r="J776" s="12" t="str">
        <f>HYPERLINK("https://www.boe.es/gazeta/dias/1803/03/22/pdfs/GMD-1803-23.pdf#page=6","Abrir facsímil")</f>
        <v>Abrir facsímil</v>
      </c>
      <c r="K776" s="15" t="s">
        <v>23</v>
      </c>
    </row>
    <row r="777" spans="1:11" ht="42" customHeight="1">
      <c r="A777" s="4" t="s">
        <v>2063</v>
      </c>
      <c r="B777" s="5" t="s">
        <v>2064</v>
      </c>
      <c r="C777" s="5" t="s">
        <v>51</v>
      </c>
      <c r="D777" s="5" t="s">
        <v>52</v>
      </c>
      <c r="E777" s="5" t="s">
        <v>156</v>
      </c>
      <c r="F777" s="9">
        <v>2</v>
      </c>
      <c r="G777" s="9">
        <v>10</v>
      </c>
      <c r="H777" s="5" t="s">
        <v>21</v>
      </c>
      <c r="I777" s="5" t="s">
        <v>2065</v>
      </c>
      <c r="J777" s="12" t="str">
        <f>HYPERLINK("https://www.boe.es/gazeta/dias/1803/01/07/pdfs/GMD-1803-2.pdf#page=2","Abrir facsímil")</f>
        <v>Abrir facsímil</v>
      </c>
      <c r="K777" s="15" t="s">
        <v>23</v>
      </c>
    </row>
    <row r="778" spans="1:11" ht="42" customHeight="1">
      <c r="A778" s="4" t="s">
        <v>2066</v>
      </c>
      <c r="B778" s="5" t="s">
        <v>2067</v>
      </c>
      <c r="C778" s="5" t="s">
        <v>26</v>
      </c>
      <c r="D778" s="5" t="s">
        <v>27</v>
      </c>
      <c r="E778" s="5" t="s">
        <v>191</v>
      </c>
      <c r="F778" s="9">
        <v>34</v>
      </c>
      <c r="G778" s="9" t="s">
        <v>1970</v>
      </c>
      <c r="H778" s="5" t="s">
        <v>21</v>
      </c>
      <c r="I778" s="5" t="s">
        <v>2068</v>
      </c>
      <c r="J778" s="12" t="str">
        <f>HYPERLINK("https://www.boe.es/gazeta/dias/1803/04/29/pdfs/GMD-C-1803-34.pdf#page=10","Abrir facsímil")</f>
        <v>Abrir facsímil</v>
      </c>
      <c r="K778" s="15" t="s">
        <v>23</v>
      </c>
    </row>
    <row r="779" spans="1:11" ht="42" customHeight="1">
      <c r="A779" s="4" t="s">
        <v>2069</v>
      </c>
      <c r="B779" s="5" t="s">
        <v>2070</v>
      </c>
      <c r="C779" s="5" t="s">
        <v>26</v>
      </c>
      <c r="D779" s="5" t="s">
        <v>27</v>
      </c>
      <c r="E779" s="5" t="s">
        <v>203</v>
      </c>
      <c r="F779" s="9">
        <v>32</v>
      </c>
      <c r="G779" s="9">
        <v>337</v>
      </c>
      <c r="H779" s="5" t="s">
        <v>21</v>
      </c>
      <c r="I779" s="5" t="s">
        <v>2071</v>
      </c>
      <c r="J779" s="12" t="str">
        <f>HYPERLINK("https://www.boe.es/gazeta/dias/1803/04/22/pdfs/GMD-1803-32.pdf#page=9","Abrir facsímil")</f>
        <v>Abrir facsímil</v>
      </c>
      <c r="K779" s="15" t="s">
        <v>23</v>
      </c>
    </row>
    <row r="780" spans="1:11" ht="42" customHeight="1">
      <c r="A780" s="4" t="s">
        <v>2072</v>
      </c>
      <c r="B780" s="5" t="s">
        <v>2073</v>
      </c>
      <c r="C780" s="5" t="s">
        <v>46</v>
      </c>
      <c r="D780" s="5" t="s">
        <v>19</v>
      </c>
      <c r="E780" s="5" t="s">
        <v>361</v>
      </c>
      <c r="F780" s="9">
        <v>62</v>
      </c>
      <c r="G780" s="9">
        <v>671</v>
      </c>
      <c r="H780" s="5" t="s">
        <v>21</v>
      </c>
      <c r="I780" s="5" t="s">
        <v>2074</v>
      </c>
      <c r="J780" s="12" t="str">
        <f>HYPERLINK("https://www.boe.es/gazeta/dias/1803/08/05/pdfs/GMD-1803-62.pdf#page=3","Abrir facsímil")</f>
        <v>Abrir facsímil</v>
      </c>
      <c r="K780" s="15" t="s">
        <v>23</v>
      </c>
    </row>
    <row r="781" spans="1:11" ht="42" customHeight="1">
      <c r="A781" s="4" t="s">
        <v>2072</v>
      </c>
      <c r="B781" s="5" t="s">
        <v>2073</v>
      </c>
      <c r="C781" s="5" t="s">
        <v>40</v>
      </c>
      <c r="D781" s="5" t="s">
        <v>41</v>
      </c>
      <c r="E781" s="5" t="s">
        <v>399</v>
      </c>
      <c r="F781" s="9">
        <v>95</v>
      </c>
      <c r="G781" s="9">
        <v>1014</v>
      </c>
      <c r="H781" s="5" t="s">
        <v>21</v>
      </c>
      <c r="I781" s="5" t="s">
        <v>2075</v>
      </c>
      <c r="J781" s="12" t="str">
        <f>HYPERLINK("https://www.boe.es/gazeta/dias/1803/11/25/pdfs/GMD-1803-95.pdf#page=2","Abrir facsímil")</f>
        <v>Abrir facsímil</v>
      </c>
      <c r="K781" s="15" t="s">
        <v>23</v>
      </c>
    </row>
    <row r="782" spans="1:11" ht="42" customHeight="1">
      <c r="A782" s="4" t="s">
        <v>2076</v>
      </c>
      <c r="B782" s="5" t="s">
        <v>2077</v>
      </c>
      <c r="C782" s="5" t="s">
        <v>26</v>
      </c>
      <c r="D782" s="5" t="s">
        <v>27</v>
      </c>
      <c r="E782" s="5" t="s">
        <v>514</v>
      </c>
      <c r="F782" s="9">
        <v>42</v>
      </c>
      <c r="G782" s="9">
        <v>438</v>
      </c>
      <c r="H782" s="5" t="s">
        <v>21</v>
      </c>
      <c r="I782" s="5" t="s">
        <v>2078</v>
      </c>
      <c r="J782" s="12" t="str">
        <f>HYPERLINK("https://www.boe.es/gazeta/dias/1803/05/27/pdfs/GMD-1803-42.pdf#page=6","Abrir facsímil")</f>
        <v>Abrir facsímil</v>
      </c>
      <c r="K782" s="15" t="s">
        <v>23</v>
      </c>
    </row>
    <row r="783" spans="1:11" ht="42" customHeight="1">
      <c r="A783" s="4" t="s">
        <v>2079</v>
      </c>
      <c r="B783" s="5" t="s">
        <v>2080</v>
      </c>
      <c r="C783" s="5" t="s">
        <v>26</v>
      </c>
      <c r="D783" s="5" t="s">
        <v>27</v>
      </c>
      <c r="E783" s="5" t="s">
        <v>403</v>
      </c>
      <c r="F783" s="9">
        <v>91</v>
      </c>
      <c r="G783" s="9">
        <v>977</v>
      </c>
      <c r="H783" s="5" t="s">
        <v>21</v>
      </c>
      <c r="I783" s="5" t="s">
        <v>2081</v>
      </c>
      <c r="J783" s="12" t="str">
        <f>HYPERLINK("https://www.boe.es/gazeta/dias/1803/11/11/pdfs/GMD-1803-91.pdf#page=9","Abrir facsímil")</f>
        <v>Abrir facsímil</v>
      </c>
      <c r="K783" s="15" t="s">
        <v>23</v>
      </c>
    </row>
    <row r="784" spans="1:11" ht="42" customHeight="1">
      <c r="A784" s="4" t="s">
        <v>2082</v>
      </c>
      <c r="B784" s="5" t="s">
        <v>2082</v>
      </c>
      <c r="C784" s="5" t="s">
        <v>40</v>
      </c>
      <c r="D784" s="5" t="s">
        <v>41</v>
      </c>
      <c r="E784" s="5" t="s">
        <v>138</v>
      </c>
      <c r="F784" s="9">
        <v>68</v>
      </c>
      <c r="G784" s="9">
        <v>739</v>
      </c>
      <c r="H784" s="5" t="s">
        <v>21</v>
      </c>
      <c r="I784" s="5" t="s">
        <v>2083</v>
      </c>
      <c r="J784" s="12" t="str">
        <f>HYPERLINK("https://www.boe.es/gazeta/dias/1803/08/26/pdfs/GMD-1803-68.pdf#page=7","Abrir facsímil")</f>
        <v>Abrir facsímil</v>
      </c>
      <c r="K784" s="15" t="s">
        <v>23</v>
      </c>
    </row>
    <row r="785" spans="1:11" ht="42" customHeight="1">
      <c r="A785" s="4" t="s">
        <v>2084</v>
      </c>
      <c r="B785" s="5" t="s">
        <v>2084</v>
      </c>
      <c r="C785" s="5" t="s">
        <v>40</v>
      </c>
      <c r="D785" s="5" t="s">
        <v>41</v>
      </c>
      <c r="E785" s="5" t="s">
        <v>211</v>
      </c>
      <c r="F785" s="9">
        <v>71</v>
      </c>
      <c r="G785" s="9">
        <v>773</v>
      </c>
      <c r="H785" s="5" t="s">
        <v>21</v>
      </c>
      <c r="I785" s="5" t="s">
        <v>2085</v>
      </c>
      <c r="J785" s="12" t="str">
        <f>HYPERLINK("https://www.boe.es/gazeta/dias/1803/09/06/pdfs/GMD-1803-71.pdf#page=5","Abrir facsímil")</f>
        <v>Abrir facsímil</v>
      </c>
      <c r="K785" s="15" t="s">
        <v>23</v>
      </c>
    </row>
    <row r="786" spans="1:11" ht="42" customHeight="1">
      <c r="A786" s="4" t="s">
        <v>2086</v>
      </c>
      <c r="B786" s="5" t="s">
        <v>2086</v>
      </c>
      <c r="C786" s="5" t="s">
        <v>40</v>
      </c>
      <c r="D786" s="5" t="s">
        <v>41</v>
      </c>
      <c r="E786" s="5" t="s">
        <v>317</v>
      </c>
      <c r="F786" s="9">
        <v>12</v>
      </c>
      <c r="G786" s="9">
        <v>113</v>
      </c>
      <c r="H786" s="5" t="s">
        <v>21</v>
      </c>
      <c r="I786" s="5" t="s">
        <v>2087</v>
      </c>
      <c r="J786" s="12" t="str">
        <f>HYPERLINK("https://www.boe.es/gazeta/dias/1803/02/11/pdfs/GMD-1803-12.pdf#page=1","Abrir facsímil")</f>
        <v>Abrir facsímil</v>
      </c>
      <c r="K786" s="15" t="s">
        <v>23</v>
      </c>
    </row>
    <row r="787" spans="1:11" ht="42" customHeight="1">
      <c r="A787" s="4" t="s">
        <v>2088</v>
      </c>
      <c r="B787" s="5" t="s">
        <v>2089</v>
      </c>
      <c r="C787" s="5" t="s">
        <v>26</v>
      </c>
      <c r="D787" s="5" t="s">
        <v>27</v>
      </c>
      <c r="E787" s="5" t="s">
        <v>619</v>
      </c>
      <c r="F787" s="9">
        <v>53</v>
      </c>
      <c r="G787" s="9">
        <v>577</v>
      </c>
      <c r="H787" s="5" t="s">
        <v>21</v>
      </c>
      <c r="I787" s="5" t="s">
        <v>2090</v>
      </c>
      <c r="J787" s="12" t="str">
        <f>HYPERLINK("https://www.boe.es/gazeta/dias/1803/07/05/pdfs/GMD-1803-53.pdf#page=9","Abrir facsímil")</f>
        <v>Abrir facsímil</v>
      </c>
      <c r="K787" s="15" t="s">
        <v>23</v>
      </c>
    </row>
    <row r="788" spans="1:11" ht="42" customHeight="1">
      <c r="A788" s="4" t="s">
        <v>2091</v>
      </c>
      <c r="B788" s="5" t="s">
        <v>2092</v>
      </c>
      <c r="C788" s="5" t="s">
        <v>26</v>
      </c>
      <c r="D788" s="5" t="s">
        <v>27</v>
      </c>
      <c r="E788" s="5" t="s">
        <v>619</v>
      </c>
      <c r="F788" s="9">
        <v>53</v>
      </c>
      <c r="G788" s="9">
        <v>577</v>
      </c>
      <c r="H788" s="5" t="s">
        <v>21</v>
      </c>
      <c r="I788" s="5" t="s">
        <v>2093</v>
      </c>
      <c r="J788" s="12" t="str">
        <f>HYPERLINK("https://www.boe.es/gazeta/dias/1803/07/05/pdfs/GMD-1803-53.pdf#page=9","Abrir facsímil")</f>
        <v>Abrir facsímil</v>
      </c>
      <c r="K788" s="15" t="s">
        <v>23</v>
      </c>
    </row>
    <row r="789" spans="1:11" ht="42" customHeight="1">
      <c r="A789" s="4" t="s">
        <v>2094</v>
      </c>
      <c r="B789" s="5" t="s">
        <v>2095</v>
      </c>
      <c r="C789" s="5" t="s">
        <v>40</v>
      </c>
      <c r="D789" s="5" t="s">
        <v>41</v>
      </c>
      <c r="E789" s="5" t="s">
        <v>47</v>
      </c>
      <c r="F789" s="9">
        <v>33</v>
      </c>
      <c r="G789" s="9">
        <v>349</v>
      </c>
      <c r="H789" s="5" t="s">
        <v>21</v>
      </c>
      <c r="I789" s="5" t="s">
        <v>2096</v>
      </c>
      <c r="J789" s="12" t="str">
        <f>HYPERLINK("https://www.boe.es/gazeta/dias/1803/04/26/pdfs/GMD-1803-33.pdf#page=9","Abrir facsímil")</f>
        <v>Abrir facsímil</v>
      </c>
      <c r="K789" s="15" t="s">
        <v>23</v>
      </c>
    </row>
    <row r="790" spans="1:11" ht="42" customHeight="1">
      <c r="A790" s="4" t="s">
        <v>2097</v>
      </c>
      <c r="B790" s="5" t="s">
        <v>2098</v>
      </c>
      <c r="C790" s="5" t="s">
        <v>80</v>
      </c>
      <c r="D790" s="5" t="s">
        <v>81</v>
      </c>
      <c r="E790" s="5" t="s">
        <v>152</v>
      </c>
      <c r="F790" s="9">
        <v>16</v>
      </c>
      <c r="G790" s="9">
        <v>168</v>
      </c>
      <c r="H790" s="5" t="s">
        <v>21</v>
      </c>
      <c r="I790" s="5" t="s">
        <v>2099</v>
      </c>
      <c r="J790" s="12" t="str">
        <f>HYPERLINK("https://www.boe.es/gazeta/dias/1803/02/25/pdfs/GMD-1803-16.pdf#page=8","Abrir facsímil")</f>
        <v>Abrir facsímil</v>
      </c>
      <c r="K790" s="15" t="s">
        <v>23</v>
      </c>
    </row>
    <row r="791" spans="1:11" ht="42" customHeight="1">
      <c r="A791" s="4" t="s">
        <v>2100</v>
      </c>
      <c r="B791" s="5" t="s">
        <v>2100</v>
      </c>
      <c r="C791" s="5" t="s">
        <v>40</v>
      </c>
      <c r="D791" s="5" t="s">
        <v>41</v>
      </c>
      <c r="E791" s="5" t="s">
        <v>882</v>
      </c>
      <c r="F791" s="9">
        <v>60</v>
      </c>
      <c r="G791" s="9">
        <v>650</v>
      </c>
      <c r="H791" s="5" t="s">
        <v>21</v>
      </c>
      <c r="I791" s="5" t="s">
        <v>2101</v>
      </c>
      <c r="J791" s="12" t="str">
        <f>HYPERLINK("https://www.boe.es/gazeta/dias/1803/07/29/pdfs/GMD-1803-60.pdf#page=2","Abrir facsímil")</f>
        <v>Abrir facsímil</v>
      </c>
      <c r="K791" s="15" t="s">
        <v>23</v>
      </c>
    </row>
    <row r="792" spans="1:11" ht="42" customHeight="1">
      <c r="A792" s="4" t="s">
        <v>2102</v>
      </c>
      <c r="B792" s="5" t="s">
        <v>2103</v>
      </c>
      <c r="C792" s="5" t="s">
        <v>26</v>
      </c>
      <c r="D792" s="5" t="s">
        <v>27</v>
      </c>
      <c r="E792" s="5" t="s">
        <v>501</v>
      </c>
      <c r="F792" s="9">
        <v>22</v>
      </c>
      <c r="G792" s="9">
        <v>237</v>
      </c>
      <c r="H792" s="5" t="s">
        <v>21</v>
      </c>
      <c r="I792" s="5" t="s">
        <v>2104</v>
      </c>
      <c r="J792" s="12" t="str">
        <f>HYPERLINK("https://www.boe.es/gazeta/dias/1803/03/18/pdfs/GMD-1803-22.pdf#page=9","Abrir facsímil")</f>
        <v>Abrir facsímil</v>
      </c>
      <c r="K792" s="15" t="s">
        <v>23</v>
      </c>
    </row>
    <row r="793" spans="1:11" ht="42" customHeight="1">
      <c r="A793" s="4" t="s">
        <v>2105</v>
      </c>
      <c r="B793" s="5" t="s">
        <v>2106</v>
      </c>
      <c r="C793" s="5" t="s">
        <v>26</v>
      </c>
      <c r="D793" s="5" t="s">
        <v>27</v>
      </c>
      <c r="E793" s="5" t="s">
        <v>71</v>
      </c>
      <c r="F793" s="9">
        <v>39</v>
      </c>
      <c r="G793" s="9">
        <v>412</v>
      </c>
      <c r="H793" s="5" t="s">
        <v>21</v>
      </c>
      <c r="I793" s="5" t="s">
        <v>2107</v>
      </c>
      <c r="J793" s="12" t="str">
        <f>HYPERLINK("https://www.boe.es/gazeta/dias/1803/05/17/pdfs/GMD-1803-39.pdf#page=8","Abrir facsímil")</f>
        <v>Abrir facsímil</v>
      </c>
      <c r="K793" s="15" t="s">
        <v>23</v>
      </c>
    </row>
    <row r="794" spans="1:11" ht="42" customHeight="1">
      <c r="A794" s="4" t="s">
        <v>2105</v>
      </c>
      <c r="B794" s="5" t="s">
        <v>2106</v>
      </c>
      <c r="C794" s="5" t="s">
        <v>26</v>
      </c>
      <c r="D794" s="5" t="s">
        <v>27</v>
      </c>
      <c r="E794" s="5" t="s">
        <v>132</v>
      </c>
      <c r="F794" s="9">
        <v>58</v>
      </c>
      <c r="G794" s="9">
        <v>638</v>
      </c>
      <c r="H794" s="5" t="s">
        <v>21</v>
      </c>
      <c r="I794" s="5" t="s">
        <v>2108</v>
      </c>
      <c r="J794" s="12" t="str">
        <f>HYPERLINK("https://www.boe.es/gazeta/dias/1803/07/22/pdfs/GMD-1803-58.pdf#page=10","Abrir facsímil")</f>
        <v>Abrir facsímil</v>
      </c>
      <c r="K794" s="15" t="s">
        <v>23</v>
      </c>
    </row>
    <row r="795" spans="1:11" ht="42" customHeight="1">
      <c r="A795" s="4" t="s">
        <v>2109</v>
      </c>
      <c r="B795" s="5" t="s">
        <v>2110</v>
      </c>
      <c r="C795" s="5" t="s">
        <v>40</v>
      </c>
      <c r="D795" s="5" t="s">
        <v>41</v>
      </c>
      <c r="E795" s="5" t="s">
        <v>75</v>
      </c>
      <c r="F795" s="9">
        <v>56</v>
      </c>
      <c r="G795" s="9">
        <v>605</v>
      </c>
      <c r="H795" s="5" t="s">
        <v>21</v>
      </c>
      <c r="I795" s="5" t="s">
        <v>2111</v>
      </c>
      <c r="J795" s="12" t="str">
        <f>HYPERLINK("https://www.boe.es/gazeta/dias/1803/07/15/pdfs/GMD-1803-56.pdf#page=1","Abrir facsímil")</f>
        <v>Abrir facsímil</v>
      </c>
      <c r="K795" s="15" t="s">
        <v>23</v>
      </c>
    </row>
    <row r="796" spans="1:11" ht="42" customHeight="1">
      <c r="A796" s="4" t="s">
        <v>2112</v>
      </c>
      <c r="B796" s="5" t="s">
        <v>2113</v>
      </c>
      <c r="C796" s="5" t="s">
        <v>26</v>
      </c>
      <c r="D796" s="5" t="s">
        <v>27</v>
      </c>
      <c r="E796" s="5" t="s">
        <v>373</v>
      </c>
      <c r="F796" s="9">
        <v>77</v>
      </c>
      <c r="G796" s="9">
        <v>826</v>
      </c>
      <c r="H796" s="5" t="s">
        <v>21</v>
      </c>
      <c r="I796" s="5" t="s">
        <v>2114</v>
      </c>
      <c r="J796" s="12" t="str">
        <f>HYPERLINK("https://www.boe.es/gazeta/dias/1803/09/23/pdfs/GMD-1803-77.pdf#page=2","Abrir facsímil")</f>
        <v>Abrir facsímil</v>
      </c>
      <c r="K796" s="15" t="s">
        <v>23</v>
      </c>
    </row>
    <row r="797" spans="1:11" ht="42" customHeight="1">
      <c r="A797" s="4" t="s">
        <v>2115</v>
      </c>
      <c r="B797" s="5" t="s">
        <v>2116</v>
      </c>
      <c r="C797" s="5" t="s">
        <v>26</v>
      </c>
      <c r="D797" s="5" t="s">
        <v>27</v>
      </c>
      <c r="E797" s="5" t="s">
        <v>53</v>
      </c>
      <c r="F797" s="9">
        <v>99</v>
      </c>
      <c r="G797" s="9">
        <v>1055</v>
      </c>
      <c r="H797" s="5" t="s">
        <v>21</v>
      </c>
      <c r="I797" s="5" t="s">
        <v>2117</v>
      </c>
      <c r="J797" s="12" t="str">
        <f>HYPERLINK("https://www.boe.es/gazeta/dias/1803/12/09/pdfs/GMD-1803-99.pdf#page=3","Abrir facsímil")</f>
        <v>Abrir facsímil</v>
      </c>
      <c r="K797" s="15" t="s">
        <v>23</v>
      </c>
    </row>
    <row r="798" spans="1:11" ht="42" customHeight="1">
      <c r="A798" s="4" t="s">
        <v>2118</v>
      </c>
      <c r="B798" s="5" t="s">
        <v>2119</v>
      </c>
      <c r="C798" s="5" t="s">
        <v>26</v>
      </c>
      <c r="D798" s="5" t="s">
        <v>27</v>
      </c>
      <c r="E798" s="5" t="s">
        <v>156</v>
      </c>
      <c r="F798" s="9">
        <v>2</v>
      </c>
      <c r="G798" s="9">
        <v>17</v>
      </c>
      <c r="H798" s="5" t="s">
        <v>21</v>
      </c>
      <c r="I798" s="5" t="s">
        <v>2120</v>
      </c>
      <c r="J798" s="12" t="str">
        <f>HYPERLINK("https://www.boe.es/gazeta/dias/1803/01/07/pdfs/GMD-1803-2.pdf#page=9","Abrir facsímil")</f>
        <v>Abrir facsímil</v>
      </c>
      <c r="K798" s="15" t="s">
        <v>23</v>
      </c>
    </row>
    <row r="799" spans="1:11" ht="42" customHeight="1">
      <c r="A799" s="4" t="s">
        <v>2121</v>
      </c>
      <c r="B799" s="5" t="s">
        <v>2122</v>
      </c>
      <c r="C799" s="5" t="s">
        <v>26</v>
      </c>
      <c r="D799" s="5" t="s">
        <v>27</v>
      </c>
      <c r="E799" s="5" t="s">
        <v>293</v>
      </c>
      <c r="F799" s="9">
        <v>45</v>
      </c>
      <c r="G799" s="9">
        <v>465</v>
      </c>
      <c r="H799" s="5" t="s">
        <v>21</v>
      </c>
      <c r="I799" s="5" t="s">
        <v>2123</v>
      </c>
      <c r="J799" s="12" t="str">
        <f>HYPERLINK("https://www.boe.es/gazeta/dias/1803/06/07/pdfs/GMD-1803-45.pdf#page=1","Abrir facsímil")</f>
        <v>Abrir facsímil</v>
      </c>
      <c r="K799" s="15" t="s">
        <v>23</v>
      </c>
    </row>
    <row r="800" spans="1:11" ht="42" customHeight="1">
      <c r="A800" s="4" t="s">
        <v>2124</v>
      </c>
      <c r="B800" s="5" t="s">
        <v>2125</v>
      </c>
      <c r="C800" s="5" t="s">
        <v>26</v>
      </c>
      <c r="D800" s="5" t="s">
        <v>27</v>
      </c>
      <c r="E800" s="5" t="s">
        <v>501</v>
      </c>
      <c r="F800" s="9">
        <v>22</v>
      </c>
      <c r="G800" s="9">
        <v>237</v>
      </c>
      <c r="H800" s="5" t="s">
        <v>21</v>
      </c>
      <c r="I800" s="5" t="s">
        <v>2126</v>
      </c>
      <c r="J800" s="12" t="str">
        <f>HYPERLINK("https://www.boe.es/gazeta/dias/1803/03/18/pdfs/GMD-1803-22.pdf#page=9","Abrir facsímil")</f>
        <v>Abrir facsímil</v>
      </c>
      <c r="K800" s="15" t="s">
        <v>23</v>
      </c>
    </row>
    <row r="801" spans="1:11" ht="42" customHeight="1">
      <c r="A801" s="4" t="s">
        <v>2127</v>
      </c>
      <c r="B801" s="5" t="s">
        <v>2128</v>
      </c>
      <c r="C801" s="5" t="s">
        <v>26</v>
      </c>
      <c r="D801" s="5" t="s">
        <v>27</v>
      </c>
      <c r="E801" s="5" t="s">
        <v>303</v>
      </c>
      <c r="F801" s="9">
        <v>8</v>
      </c>
      <c r="G801" s="9">
        <v>73</v>
      </c>
      <c r="H801" s="5" t="s">
        <v>21</v>
      </c>
      <c r="I801" s="5" t="s">
        <v>2129</v>
      </c>
      <c r="J801" s="12" t="str">
        <f>HYPERLINK("https://www.boe.es/gazeta/dias/1803/01/28/pdfs/GMD-1803-8.pdf#page=1","Abrir facsímil")</f>
        <v>Abrir facsímil</v>
      </c>
      <c r="K801" s="15" t="s">
        <v>23</v>
      </c>
    </row>
    <row r="802" spans="1:11" ht="42" customHeight="1">
      <c r="A802" s="4" t="s">
        <v>2130</v>
      </c>
      <c r="B802" s="5" t="s">
        <v>2131</v>
      </c>
      <c r="C802" s="5" t="s">
        <v>26</v>
      </c>
      <c r="D802" s="5" t="s">
        <v>27</v>
      </c>
      <c r="E802" s="5" t="s">
        <v>71</v>
      </c>
      <c r="F802" s="9">
        <v>39</v>
      </c>
      <c r="G802" s="9">
        <v>412</v>
      </c>
      <c r="H802" s="5" t="s">
        <v>21</v>
      </c>
      <c r="I802" s="5" t="s">
        <v>2132</v>
      </c>
      <c r="J802" s="12" t="str">
        <f>HYPERLINK("https://www.boe.es/gazeta/dias/1803/05/17/pdfs/GMD-1803-39.pdf#page=8","Abrir facsímil")</f>
        <v>Abrir facsímil</v>
      </c>
      <c r="K802" s="15" t="s">
        <v>23</v>
      </c>
    </row>
    <row r="803" spans="1:11" ht="42" customHeight="1">
      <c r="A803" s="4" t="s">
        <v>2133</v>
      </c>
      <c r="B803" s="5" t="s">
        <v>2134</v>
      </c>
      <c r="C803" s="5" t="s">
        <v>26</v>
      </c>
      <c r="D803" s="5" t="s">
        <v>27</v>
      </c>
      <c r="E803" s="5" t="s">
        <v>71</v>
      </c>
      <c r="F803" s="9">
        <v>39</v>
      </c>
      <c r="G803" s="9">
        <v>412</v>
      </c>
      <c r="H803" s="5" t="s">
        <v>21</v>
      </c>
      <c r="I803" s="5" t="s">
        <v>2135</v>
      </c>
      <c r="J803" s="12" t="str">
        <f>HYPERLINK("https://www.boe.es/gazeta/dias/1803/05/17/pdfs/GMD-1803-39.pdf#page=8","Abrir facsímil")</f>
        <v>Abrir facsímil</v>
      </c>
      <c r="K803" s="15" t="s">
        <v>23</v>
      </c>
    </row>
    <row r="804" spans="1:11" ht="42" customHeight="1">
      <c r="A804" s="4" t="s">
        <v>2136</v>
      </c>
      <c r="B804" s="5" t="s">
        <v>2137</v>
      </c>
      <c r="C804" s="5" t="s">
        <v>40</v>
      </c>
      <c r="D804" s="5" t="s">
        <v>41</v>
      </c>
      <c r="E804" s="5" t="s">
        <v>1279</v>
      </c>
      <c r="F804" s="9">
        <v>3</v>
      </c>
      <c r="G804" s="9">
        <v>22</v>
      </c>
      <c r="H804" s="5" t="s">
        <v>21</v>
      </c>
      <c r="I804" s="5" t="s">
        <v>2138</v>
      </c>
      <c r="J804" s="12" t="str">
        <f>HYPERLINK("https://www.boe.es/gazeta/dias/1803/01/11/pdfs/GMD-1803-3.pdf#page=2","Abrir facsímil")</f>
        <v>Abrir facsímil</v>
      </c>
      <c r="K804" s="15" t="s">
        <v>23</v>
      </c>
    </row>
    <row r="805" spans="1:11" ht="42" customHeight="1">
      <c r="A805" s="4" t="s">
        <v>2136</v>
      </c>
      <c r="B805" s="5" t="s">
        <v>2137</v>
      </c>
      <c r="C805" s="5" t="s">
        <v>26</v>
      </c>
      <c r="D805" s="5" t="s">
        <v>27</v>
      </c>
      <c r="E805" s="5" t="s">
        <v>332</v>
      </c>
      <c r="F805" s="9">
        <v>11</v>
      </c>
      <c r="G805" s="9">
        <v>110</v>
      </c>
      <c r="H805" s="5" t="s">
        <v>21</v>
      </c>
      <c r="I805" s="5" t="s">
        <v>2139</v>
      </c>
      <c r="J805" s="12" t="str">
        <f>HYPERLINK("https://www.boe.es/gazeta/dias/1803/02/08/pdfs/GMD-1803-11.pdf#page=6","Abrir facsímil")</f>
        <v>Abrir facsímil</v>
      </c>
      <c r="K805" s="15" t="s">
        <v>23</v>
      </c>
    </row>
    <row r="806" spans="1:11" ht="42" customHeight="1">
      <c r="A806" s="4" t="s">
        <v>2136</v>
      </c>
      <c r="B806" s="5" t="s">
        <v>2137</v>
      </c>
      <c r="C806" s="5" t="s">
        <v>40</v>
      </c>
      <c r="D806" s="5" t="s">
        <v>41</v>
      </c>
      <c r="E806" s="5" t="s">
        <v>75</v>
      </c>
      <c r="F806" s="9">
        <v>56</v>
      </c>
      <c r="G806" s="9">
        <v>605</v>
      </c>
      <c r="H806" s="5" t="s">
        <v>21</v>
      </c>
      <c r="I806" s="5" t="s">
        <v>2140</v>
      </c>
      <c r="J806" s="12" t="str">
        <f>HYPERLINK("https://www.boe.es/gazeta/dias/1803/07/15/pdfs/GMD-1803-56.pdf#page=1","Abrir facsímil")</f>
        <v>Abrir facsímil</v>
      </c>
      <c r="K806" s="15" t="s">
        <v>23</v>
      </c>
    </row>
    <row r="807" spans="1:11" ht="42" customHeight="1">
      <c r="A807" s="4" t="s">
        <v>2136</v>
      </c>
      <c r="B807" s="5" t="s">
        <v>2137</v>
      </c>
      <c r="C807" s="5" t="s">
        <v>80</v>
      </c>
      <c r="D807" s="5" t="s">
        <v>81</v>
      </c>
      <c r="E807" s="5" t="s">
        <v>117</v>
      </c>
      <c r="F807" s="9">
        <v>59</v>
      </c>
      <c r="G807" s="9">
        <v>641</v>
      </c>
      <c r="H807" s="5" t="s">
        <v>21</v>
      </c>
      <c r="I807" s="5" t="s">
        <v>2141</v>
      </c>
      <c r="J807" s="12" t="str">
        <f>HYPERLINK("https://www.boe.es/gazeta/dias/1803/07/26/pdfs/GMD-1803-59.pdf#page=1","Abrir facsímil")</f>
        <v>Abrir facsímil</v>
      </c>
      <c r="K807" s="15" t="s">
        <v>23</v>
      </c>
    </row>
    <row r="808" spans="1:11" ht="42" customHeight="1">
      <c r="A808" s="4" t="s">
        <v>2136</v>
      </c>
      <c r="B808" s="5" t="s">
        <v>2137</v>
      </c>
      <c r="C808" s="5" t="s">
        <v>40</v>
      </c>
      <c r="D808" s="5" t="s">
        <v>41</v>
      </c>
      <c r="E808" s="5" t="s">
        <v>882</v>
      </c>
      <c r="F808" s="9">
        <v>60</v>
      </c>
      <c r="G808" s="9">
        <v>649</v>
      </c>
      <c r="H808" s="5" t="s">
        <v>21</v>
      </c>
      <c r="I808" s="5" t="s">
        <v>2142</v>
      </c>
      <c r="J808" s="12" t="str">
        <f>HYPERLINK("https://www.boe.es/gazeta/dias/1803/07/29/pdfs/GMD-1803-60.pdf#page=1","Abrir facsímil")</f>
        <v>Abrir facsímil</v>
      </c>
      <c r="K808" s="15" t="s">
        <v>23</v>
      </c>
    </row>
    <row r="809" spans="1:11" ht="42" customHeight="1">
      <c r="A809" s="4" t="s">
        <v>2136</v>
      </c>
      <c r="B809" s="5" t="s">
        <v>2137</v>
      </c>
      <c r="C809" s="5" t="s">
        <v>40</v>
      </c>
      <c r="D809" s="5" t="s">
        <v>41</v>
      </c>
      <c r="E809" s="5" t="s">
        <v>480</v>
      </c>
      <c r="F809" s="9">
        <v>87</v>
      </c>
      <c r="G809" s="9">
        <v>934</v>
      </c>
      <c r="H809" s="5" t="s">
        <v>21</v>
      </c>
      <c r="I809" s="5" t="s">
        <v>2143</v>
      </c>
      <c r="J809" s="12" t="str">
        <f>HYPERLINK("https://www.boe.es/gazeta/dias/1803/10/28/pdfs/GMD-1803-87.pdf#page=2","Abrir facsímil")</f>
        <v>Abrir facsímil</v>
      </c>
      <c r="K809" s="15" t="s">
        <v>23</v>
      </c>
    </row>
    <row r="810" spans="1:11" ht="42" customHeight="1">
      <c r="A810" s="4" t="s">
        <v>2136</v>
      </c>
      <c r="B810" s="5" t="s">
        <v>2137</v>
      </c>
      <c r="C810" s="5" t="s">
        <v>26</v>
      </c>
      <c r="D810" s="5" t="s">
        <v>27</v>
      </c>
      <c r="E810" s="5" t="s">
        <v>20</v>
      </c>
      <c r="F810" s="9">
        <v>97</v>
      </c>
      <c r="G810" s="9">
        <v>1037</v>
      </c>
      <c r="H810" s="5" t="s">
        <v>21</v>
      </c>
      <c r="I810" s="5" t="s">
        <v>2144</v>
      </c>
      <c r="J810" s="12" t="str">
        <f>HYPERLINK("https://www.boe.es/gazeta/dias/1803/12/02/pdfs/GMD-1803-97.pdf#page=1","Abrir facsímil")</f>
        <v>Abrir facsímil</v>
      </c>
      <c r="K810" s="15" t="s">
        <v>23</v>
      </c>
    </row>
    <row r="811" spans="1:11" ht="42" customHeight="1">
      <c r="A811" s="4" t="s">
        <v>2145</v>
      </c>
      <c r="B811" s="5" t="s">
        <v>2145</v>
      </c>
      <c r="C811" s="5" t="s">
        <v>51</v>
      </c>
      <c r="D811" s="5" t="s">
        <v>52</v>
      </c>
      <c r="E811" s="5" t="s">
        <v>148</v>
      </c>
      <c r="F811" s="9">
        <v>15</v>
      </c>
      <c r="G811" s="9">
        <v>153</v>
      </c>
      <c r="H811" s="5" t="s">
        <v>21</v>
      </c>
      <c r="I811" s="5" t="s">
        <v>2146</v>
      </c>
      <c r="J811" s="12" t="str">
        <f>HYPERLINK("https://www.boe.es/gazeta/dias/1803/02/22/pdfs/GMD-1803-15.pdf#page=5","Abrir facsímil")</f>
        <v>Abrir facsímil</v>
      </c>
      <c r="K811" s="15" t="s">
        <v>23</v>
      </c>
    </row>
    <row r="812" spans="1:11" ht="42" customHeight="1">
      <c r="A812" s="4" t="s">
        <v>2145</v>
      </c>
      <c r="B812" s="5" t="s">
        <v>2145</v>
      </c>
      <c r="C812" s="5" t="s">
        <v>26</v>
      </c>
      <c r="D812" s="5" t="s">
        <v>27</v>
      </c>
      <c r="E812" s="5" t="s">
        <v>178</v>
      </c>
      <c r="F812" s="9">
        <v>36</v>
      </c>
      <c r="G812" s="9">
        <v>369</v>
      </c>
      <c r="H812" s="5" t="s">
        <v>21</v>
      </c>
      <c r="I812" s="5" t="s">
        <v>2147</v>
      </c>
      <c r="J812" s="12" t="str">
        <f>HYPERLINK("https://www.boe.es/gazeta/dias/1803/05/06/pdfs/GMD-1803-36.pdf#page=1","Abrir facsímil")</f>
        <v>Abrir facsímil</v>
      </c>
      <c r="K812" s="15" t="s">
        <v>23</v>
      </c>
    </row>
    <row r="813" spans="1:11" ht="42" customHeight="1">
      <c r="A813" s="4" t="s">
        <v>2145</v>
      </c>
      <c r="B813" s="5" t="s">
        <v>2145</v>
      </c>
      <c r="C813" s="5" t="s">
        <v>40</v>
      </c>
      <c r="D813" s="5" t="s">
        <v>41</v>
      </c>
      <c r="E813" s="5" t="s">
        <v>178</v>
      </c>
      <c r="F813" s="9">
        <v>36</v>
      </c>
      <c r="G813" s="9">
        <v>371</v>
      </c>
      <c r="H813" s="5" t="s">
        <v>21</v>
      </c>
      <c r="I813" s="5" t="s">
        <v>2148</v>
      </c>
      <c r="J813" s="12" t="str">
        <f>HYPERLINK("https://www.boe.es/gazeta/dias/1803/05/06/pdfs/GMD-1803-36.pdf#page=3","Abrir facsímil")</f>
        <v>Abrir facsímil</v>
      </c>
      <c r="K813" s="15" t="s">
        <v>23</v>
      </c>
    </row>
    <row r="814" spans="1:11" ht="42" customHeight="1">
      <c r="A814" s="4" t="s">
        <v>2145</v>
      </c>
      <c r="B814" s="5" t="s">
        <v>2145</v>
      </c>
      <c r="C814" s="5" t="s">
        <v>40</v>
      </c>
      <c r="D814" s="5" t="s">
        <v>41</v>
      </c>
      <c r="E814" s="5" t="s">
        <v>309</v>
      </c>
      <c r="F814" s="9">
        <v>37</v>
      </c>
      <c r="G814" s="9">
        <v>380</v>
      </c>
      <c r="H814" s="5" t="s">
        <v>21</v>
      </c>
      <c r="I814" s="5" t="s">
        <v>2149</v>
      </c>
      <c r="J814" s="12" t="str">
        <f>HYPERLINK("https://www.boe.es/gazeta/dias/1803/05/10/pdfs/GMD-1803-37.pdf#page=4","Abrir facsímil")</f>
        <v>Abrir facsímil</v>
      </c>
      <c r="K814" s="15" t="s">
        <v>23</v>
      </c>
    </row>
    <row r="815" spans="1:11" ht="42" customHeight="1">
      <c r="A815" s="4" t="s">
        <v>2150</v>
      </c>
      <c r="B815" s="5" t="s">
        <v>2150</v>
      </c>
      <c r="C815" s="5" t="s">
        <v>40</v>
      </c>
      <c r="D815" s="5" t="s">
        <v>41</v>
      </c>
      <c r="E815" s="5" t="s">
        <v>784</v>
      </c>
      <c r="F815" s="9">
        <v>86</v>
      </c>
      <c r="G815" s="9">
        <v>929</v>
      </c>
      <c r="H815" s="5" t="s">
        <v>21</v>
      </c>
      <c r="I815" s="5" t="s">
        <v>2151</v>
      </c>
      <c r="J815" s="12" t="str">
        <f>HYPERLINK("https://www.boe.es/gazeta/dias/1803/10/25/pdfs/GMD-1803-86.pdf#page=9","Abrir facsímil")</f>
        <v>Abrir facsímil</v>
      </c>
      <c r="K815" s="15" t="s">
        <v>23</v>
      </c>
    </row>
    <row r="816" spans="1:11" ht="42" customHeight="1">
      <c r="A816" s="4" t="s">
        <v>2152</v>
      </c>
      <c r="B816" s="5" t="s">
        <v>2152</v>
      </c>
      <c r="C816" s="5" t="s">
        <v>51</v>
      </c>
      <c r="D816" s="5" t="s">
        <v>52</v>
      </c>
      <c r="E816" s="5" t="s">
        <v>113</v>
      </c>
      <c r="F816" s="9">
        <v>93</v>
      </c>
      <c r="G816" s="9">
        <v>999</v>
      </c>
      <c r="H816" s="5" t="s">
        <v>21</v>
      </c>
      <c r="I816" s="5" t="s">
        <v>2153</v>
      </c>
      <c r="J816" s="12" t="str">
        <f>HYPERLINK("https://www.boe.es/gazeta/dias/1803/11/18/pdfs/GMD-1803-93.pdf#page=11","Abrir facsímil")</f>
        <v>Abrir facsímil</v>
      </c>
      <c r="K816" s="15" t="s">
        <v>23</v>
      </c>
    </row>
    <row r="817" spans="1:11" ht="42" customHeight="1">
      <c r="A817" s="4" t="s">
        <v>2154</v>
      </c>
      <c r="B817" s="5" t="s">
        <v>2155</v>
      </c>
      <c r="C817" s="5" t="s">
        <v>51</v>
      </c>
      <c r="D817" s="5" t="s">
        <v>52</v>
      </c>
      <c r="E817" s="5" t="s">
        <v>113</v>
      </c>
      <c r="F817" s="9">
        <v>93</v>
      </c>
      <c r="G817" s="9">
        <v>999</v>
      </c>
      <c r="H817" s="5" t="s">
        <v>21</v>
      </c>
      <c r="I817" s="5" t="s">
        <v>2156</v>
      </c>
      <c r="J817" s="12" t="str">
        <f>HYPERLINK("https://www.boe.es/gazeta/dias/1803/11/18/pdfs/GMD-1803-93.pdf#page=11","Abrir facsímil")</f>
        <v>Abrir facsímil</v>
      </c>
      <c r="K817" s="15" t="s">
        <v>23</v>
      </c>
    </row>
    <row r="818" spans="1:11" ht="42" customHeight="1">
      <c r="A818" s="4" t="s">
        <v>2157</v>
      </c>
      <c r="B818" s="5" t="s">
        <v>2158</v>
      </c>
      <c r="C818" s="5" t="s">
        <v>51</v>
      </c>
      <c r="D818" s="5" t="s">
        <v>52</v>
      </c>
      <c r="E818" s="5" t="s">
        <v>113</v>
      </c>
      <c r="F818" s="9">
        <v>93</v>
      </c>
      <c r="G818" s="9">
        <v>999</v>
      </c>
      <c r="H818" s="5" t="s">
        <v>21</v>
      </c>
      <c r="I818" s="5" t="s">
        <v>2159</v>
      </c>
      <c r="J818" s="12" t="str">
        <f>HYPERLINK("https://www.boe.es/gazeta/dias/1803/11/18/pdfs/GMD-1803-93.pdf#page=11","Abrir facsímil")</f>
        <v>Abrir facsímil</v>
      </c>
      <c r="K818" s="15" t="s">
        <v>23</v>
      </c>
    </row>
    <row r="819" spans="1:11" ht="42" customHeight="1">
      <c r="A819" s="4" t="s">
        <v>2160</v>
      </c>
      <c r="B819" s="5" t="s">
        <v>2160</v>
      </c>
      <c r="C819" s="5" t="s">
        <v>51</v>
      </c>
      <c r="D819" s="5" t="s">
        <v>52</v>
      </c>
      <c r="E819" s="5" t="s">
        <v>919</v>
      </c>
      <c r="F819" s="9">
        <v>69</v>
      </c>
      <c r="G819" s="9">
        <v>749</v>
      </c>
      <c r="H819" s="5" t="s">
        <v>21</v>
      </c>
      <c r="I819" s="5" t="s">
        <v>2161</v>
      </c>
      <c r="J819" s="12" t="str">
        <f>HYPERLINK("https://www.boe.es/gazeta/dias/1803/08/30/pdfs/GMD-1803-69.pdf#page=5","Abrir facsímil")</f>
        <v>Abrir facsímil</v>
      </c>
      <c r="K819" s="15" t="s">
        <v>23</v>
      </c>
    </row>
    <row r="820" spans="1:11" ht="42" customHeight="1">
      <c r="A820" s="4" t="s">
        <v>2162</v>
      </c>
      <c r="B820" s="5" t="s">
        <v>2162</v>
      </c>
      <c r="C820" s="5" t="s">
        <v>40</v>
      </c>
      <c r="D820" s="5" t="s">
        <v>41</v>
      </c>
      <c r="E820" s="5" t="s">
        <v>1915</v>
      </c>
      <c r="F820" s="9">
        <v>44</v>
      </c>
      <c r="G820" s="9">
        <v>454</v>
      </c>
      <c r="H820" s="5" t="s">
        <v>21</v>
      </c>
      <c r="I820" s="5" t="s">
        <v>2163</v>
      </c>
      <c r="J820" s="12" t="str">
        <f>HYPERLINK("https://www.boe.es/gazeta/dias/1803/06/03/pdfs/GMD-1803-44.pdf#page=2","Abrir facsímil")</f>
        <v>Abrir facsímil</v>
      </c>
      <c r="K820" s="15" t="s">
        <v>23</v>
      </c>
    </row>
    <row r="821" spans="1:11" ht="42" customHeight="1">
      <c r="A821" s="4" t="s">
        <v>2164</v>
      </c>
      <c r="B821" s="5" t="s">
        <v>2164</v>
      </c>
      <c r="C821" s="5" t="s">
        <v>40</v>
      </c>
      <c r="D821" s="5" t="s">
        <v>41</v>
      </c>
      <c r="E821" s="5" t="s">
        <v>328</v>
      </c>
      <c r="F821" s="9">
        <v>54</v>
      </c>
      <c r="G821" s="9">
        <v>588</v>
      </c>
      <c r="H821" s="5" t="s">
        <v>21</v>
      </c>
      <c r="I821" s="5" t="s">
        <v>2165</v>
      </c>
      <c r="J821" s="12" t="str">
        <f>HYPERLINK("https://www.boe.es/gazeta/dias/1803/07/08/pdfs/GMD-1803-54.pdf#page=8","Abrir facsímil")</f>
        <v>Abrir facsímil</v>
      </c>
      <c r="K821" s="15" t="s">
        <v>23</v>
      </c>
    </row>
    <row r="822" spans="1:11" ht="42" customHeight="1">
      <c r="A822" s="4" t="s">
        <v>2166</v>
      </c>
      <c r="B822" s="5" t="s">
        <v>2166</v>
      </c>
      <c r="C822" s="5" t="s">
        <v>46</v>
      </c>
      <c r="D822" s="5" t="s">
        <v>19</v>
      </c>
      <c r="E822" s="5" t="s">
        <v>42</v>
      </c>
      <c r="F822" s="9">
        <v>10</v>
      </c>
      <c r="G822" s="9">
        <v>101</v>
      </c>
      <c r="H822" s="5" t="s">
        <v>21</v>
      </c>
      <c r="I822" s="5" t="s">
        <v>2167</v>
      </c>
      <c r="J822" s="12" t="str">
        <f>HYPERLINK("https://www.boe.es/gazeta/dias/1803/02/04/pdfs/GMD-1803-10.pdf#page=5","Abrir facsímil")</f>
        <v>Abrir facsímil</v>
      </c>
      <c r="K822" s="15" t="s">
        <v>23</v>
      </c>
    </row>
    <row r="823" spans="1:11" ht="42" customHeight="1">
      <c r="A823" s="4" t="s">
        <v>2168</v>
      </c>
      <c r="B823" s="5" t="s">
        <v>2169</v>
      </c>
      <c r="C823" s="5" t="s">
        <v>26</v>
      </c>
      <c r="D823" s="5" t="s">
        <v>27</v>
      </c>
      <c r="E823" s="5" t="s">
        <v>36</v>
      </c>
      <c r="F823" s="9">
        <v>79</v>
      </c>
      <c r="G823" s="9">
        <v>854</v>
      </c>
      <c r="H823" s="5" t="s">
        <v>21</v>
      </c>
      <c r="I823" s="5" t="s">
        <v>2170</v>
      </c>
      <c r="J823" s="12" t="str">
        <f>HYPERLINK("https://www.boe.es/gazeta/dias/1803/09/30/pdfs/GMD-1803-79.pdf#page=6","Abrir facsímil")</f>
        <v>Abrir facsímil</v>
      </c>
      <c r="K823" s="15" t="s">
        <v>23</v>
      </c>
    </row>
    <row r="824" spans="1:11" ht="42" customHeight="1">
      <c r="A824" s="4" t="s">
        <v>2171</v>
      </c>
      <c r="B824" s="5" t="s">
        <v>2172</v>
      </c>
      <c r="C824" s="5" t="s">
        <v>51</v>
      </c>
      <c r="D824" s="5" t="s">
        <v>52</v>
      </c>
      <c r="E824" s="5" t="s">
        <v>189</v>
      </c>
      <c r="F824" s="9">
        <v>9</v>
      </c>
      <c r="G824" s="9">
        <v>92</v>
      </c>
      <c r="H824" s="5" t="s">
        <v>21</v>
      </c>
      <c r="I824" s="5" t="s">
        <v>2173</v>
      </c>
      <c r="J824" s="12" t="str">
        <f>HYPERLINK("https://www.boe.es/gazeta/dias/1803/02/01/pdfs/GMD-1803-9.pdf#page=8","Abrir facsímil")</f>
        <v>Abrir facsímil</v>
      </c>
      <c r="K824" s="15" t="s">
        <v>23</v>
      </c>
    </row>
    <row r="825" spans="1:11" ht="42" customHeight="1">
      <c r="A825" s="4" t="s">
        <v>2174</v>
      </c>
      <c r="B825" s="5" t="s">
        <v>2175</v>
      </c>
      <c r="C825" s="5" t="s">
        <v>80</v>
      </c>
      <c r="D825" s="5" t="s">
        <v>81</v>
      </c>
      <c r="E825" s="5" t="s">
        <v>53</v>
      </c>
      <c r="F825" s="9">
        <v>99</v>
      </c>
      <c r="G825" s="9">
        <v>1060</v>
      </c>
      <c r="H825" s="5" t="s">
        <v>21</v>
      </c>
      <c r="I825" s="5" t="s">
        <v>2176</v>
      </c>
      <c r="J825" s="12" t="str">
        <f>HYPERLINK("https://www.boe.es/gazeta/dias/1803/12/09/pdfs/GMD-1803-99.pdf#page=8","Abrir facsímil")</f>
        <v>Abrir facsímil</v>
      </c>
      <c r="K825" s="15" t="s">
        <v>23</v>
      </c>
    </row>
    <row r="826" spans="1:11" ht="42" customHeight="1">
      <c r="A826" s="4" t="s">
        <v>2177</v>
      </c>
      <c r="B826" s="5" t="s">
        <v>2178</v>
      </c>
      <c r="C826" s="5" t="s">
        <v>51</v>
      </c>
      <c r="D826" s="5" t="s">
        <v>52</v>
      </c>
      <c r="E826" s="5" t="s">
        <v>373</v>
      </c>
      <c r="F826" s="9">
        <v>77</v>
      </c>
      <c r="G826" s="9">
        <v>834</v>
      </c>
      <c r="H826" s="5" t="s">
        <v>21</v>
      </c>
      <c r="I826" s="5" t="s">
        <v>2179</v>
      </c>
      <c r="J826" s="12" t="str">
        <f>HYPERLINK("https://www.boe.es/gazeta/dias/1803/09/23/pdfs/GMD-1803-77.pdf#page=10","Abrir facsímil")</f>
        <v>Abrir facsímil</v>
      </c>
      <c r="K826" s="15" t="s">
        <v>23</v>
      </c>
    </row>
    <row r="827" spans="1:11" ht="42" customHeight="1">
      <c r="A827" s="4" t="s">
        <v>2180</v>
      </c>
      <c r="B827" s="5" t="s">
        <v>2180</v>
      </c>
      <c r="C827" s="5" t="s">
        <v>51</v>
      </c>
      <c r="D827" s="5" t="s">
        <v>52</v>
      </c>
      <c r="E827" s="5" t="s">
        <v>514</v>
      </c>
      <c r="F827" s="9">
        <v>42</v>
      </c>
      <c r="G827" s="9">
        <v>440</v>
      </c>
      <c r="H827" s="5" t="s">
        <v>21</v>
      </c>
      <c r="I827" s="5" t="s">
        <v>2181</v>
      </c>
      <c r="J827" s="12" t="str">
        <f>HYPERLINK("https://www.boe.es/gazeta/dias/1803/05/27/pdfs/GMD-1803-42.pdf#page=8","Abrir facsímil")</f>
        <v>Abrir facsímil</v>
      </c>
      <c r="K827" s="15" t="s">
        <v>23</v>
      </c>
    </row>
    <row r="828" spans="1:11" ht="42" customHeight="1">
      <c r="A828" s="4" t="s">
        <v>2182</v>
      </c>
      <c r="B828" s="5" t="s">
        <v>2183</v>
      </c>
      <c r="C828" s="5" t="s">
        <v>26</v>
      </c>
      <c r="D828" s="5" t="s">
        <v>27</v>
      </c>
      <c r="E828" s="5" t="s">
        <v>88</v>
      </c>
      <c r="F828" s="9">
        <v>18</v>
      </c>
      <c r="G828" s="9">
        <v>188</v>
      </c>
      <c r="H828" s="5" t="s">
        <v>21</v>
      </c>
      <c r="I828" s="5" t="s">
        <v>2184</v>
      </c>
      <c r="J828" s="12" t="str">
        <f>HYPERLINK("https://www.boe.es/gazeta/dias/1803/03/04/pdfs/GMD-1803-18.pdf#page=8","Abrir facsímil")</f>
        <v>Abrir facsímil</v>
      </c>
      <c r="K828" s="15" t="s">
        <v>23</v>
      </c>
    </row>
    <row r="829" spans="1:11" ht="42" customHeight="1">
      <c r="A829" s="4" t="s">
        <v>2185</v>
      </c>
      <c r="B829" s="5" t="s">
        <v>2185</v>
      </c>
      <c r="C829" s="5" t="s">
        <v>40</v>
      </c>
      <c r="D829" s="5" t="s">
        <v>41</v>
      </c>
      <c r="E829" s="5" t="s">
        <v>75</v>
      </c>
      <c r="F829" s="9">
        <v>56</v>
      </c>
      <c r="G829" s="9">
        <v>606</v>
      </c>
      <c r="H829" s="5" t="s">
        <v>21</v>
      </c>
      <c r="I829" s="5" t="s">
        <v>2186</v>
      </c>
      <c r="J829" s="12" t="str">
        <f>HYPERLINK("https://www.boe.es/gazeta/dias/1803/07/15/pdfs/GMD-1803-56.pdf#page=2","Abrir facsímil")</f>
        <v>Abrir facsímil</v>
      </c>
      <c r="K829" s="15" t="s">
        <v>23</v>
      </c>
    </row>
    <row r="830" spans="1:11" ht="42" customHeight="1">
      <c r="A830" s="4" t="s">
        <v>2187</v>
      </c>
      <c r="B830" s="5" t="s">
        <v>2188</v>
      </c>
      <c r="C830" s="5" t="s">
        <v>26</v>
      </c>
      <c r="D830" s="5" t="s">
        <v>27</v>
      </c>
      <c r="E830" s="5" t="s">
        <v>32</v>
      </c>
      <c r="F830" s="9">
        <v>74</v>
      </c>
      <c r="G830" s="9">
        <v>802</v>
      </c>
      <c r="H830" s="5" t="s">
        <v>21</v>
      </c>
      <c r="I830" s="5" t="s">
        <v>2189</v>
      </c>
      <c r="J830" s="12" t="str">
        <f>HYPERLINK("https://www.boe.es/gazeta/dias/1803/09/13/pdfs/GMD-1803-74.pdf#page=6","Abrir facsímil")</f>
        <v>Abrir facsímil</v>
      </c>
      <c r="K830" s="15" t="s">
        <v>23</v>
      </c>
    </row>
    <row r="831" spans="1:11" ht="42" customHeight="1">
      <c r="A831" s="4" t="s">
        <v>2190</v>
      </c>
      <c r="B831" s="5" t="s">
        <v>2190</v>
      </c>
      <c r="C831" s="5" t="s">
        <v>26</v>
      </c>
      <c r="D831" s="5" t="s">
        <v>27</v>
      </c>
      <c r="E831" s="5" t="s">
        <v>784</v>
      </c>
      <c r="F831" s="9">
        <v>86</v>
      </c>
      <c r="G831" s="9">
        <v>930</v>
      </c>
      <c r="H831" s="5" t="s">
        <v>21</v>
      </c>
      <c r="I831" s="5" t="s">
        <v>2191</v>
      </c>
      <c r="J831" s="12" t="str">
        <f>HYPERLINK("https://www.boe.es/gazeta/dias/1803/10/25/pdfs/GMD-1803-86.pdf#page=10","Abrir facsímil")</f>
        <v>Abrir facsímil</v>
      </c>
      <c r="K831" s="15" t="s">
        <v>23</v>
      </c>
    </row>
    <row r="832" spans="1:11" ht="42" customHeight="1">
      <c r="A832" s="4" t="s">
        <v>2192</v>
      </c>
      <c r="B832" s="5" t="s">
        <v>2193</v>
      </c>
      <c r="C832" s="5" t="s">
        <v>26</v>
      </c>
      <c r="D832" s="5" t="s">
        <v>27</v>
      </c>
      <c r="E832" s="5" t="s">
        <v>124</v>
      </c>
      <c r="F832" s="9">
        <v>20</v>
      </c>
      <c r="G832" s="9">
        <v>209</v>
      </c>
      <c r="H832" s="5" t="s">
        <v>21</v>
      </c>
      <c r="I832" s="5" t="s">
        <v>2194</v>
      </c>
      <c r="J832" s="12" t="str">
        <f>HYPERLINK("https://www.boe.es/gazeta/dias/1803/03/11/pdfs/GMD-1803-20.pdf#page=5","Abrir facsímil")</f>
        <v>Abrir facsímil</v>
      </c>
      <c r="K832" s="15" t="s">
        <v>23</v>
      </c>
    </row>
    <row r="833" spans="1:11" ht="42" customHeight="1">
      <c r="A833" s="4" t="s">
        <v>2195</v>
      </c>
      <c r="B833" s="5" t="s">
        <v>2196</v>
      </c>
      <c r="C833" s="5" t="s">
        <v>26</v>
      </c>
      <c r="D833" s="5" t="s">
        <v>27</v>
      </c>
      <c r="E833" s="5" t="s">
        <v>75</v>
      </c>
      <c r="F833" s="9">
        <v>56</v>
      </c>
      <c r="G833" s="9">
        <v>611</v>
      </c>
      <c r="H833" s="5" t="s">
        <v>21</v>
      </c>
      <c r="I833" s="5" t="s">
        <v>2197</v>
      </c>
      <c r="J833" s="12" t="str">
        <f>HYPERLINK("https://www.boe.es/gazeta/dias/1803/07/15/pdfs/GMD-1803-56.pdf#page=7","Abrir facsímil")</f>
        <v>Abrir facsímil</v>
      </c>
      <c r="K833" s="15" t="s">
        <v>23</v>
      </c>
    </row>
    <row r="834" spans="1:11" ht="42" customHeight="1">
      <c r="A834" s="4" t="s">
        <v>2198</v>
      </c>
      <c r="B834" s="5" t="s">
        <v>2199</v>
      </c>
      <c r="C834" s="5" t="s">
        <v>51</v>
      </c>
      <c r="D834" s="5" t="s">
        <v>52</v>
      </c>
      <c r="E834" s="5" t="s">
        <v>303</v>
      </c>
      <c r="F834" s="9">
        <v>8</v>
      </c>
      <c r="G834" s="9">
        <v>79</v>
      </c>
      <c r="H834" s="5" t="s">
        <v>21</v>
      </c>
      <c r="I834" s="5" t="s">
        <v>2200</v>
      </c>
      <c r="J834" s="12" t="str">
        <f>HYPERLINK("https://www.boe.es/gazeta/dias/1803/01/28/pdfs/GMD-1803-8.pdf#page=7","Abrir facsímil")</f>
        <v>Abrir facsímil</v>
      </c>
      <c r="K834" s="15" t="s">
        <v>23</v>
      </c>
    </row>
    <row r="835" spans="1:11" ht="42" customHeight="1">
      <c r="A835" s="4" t="s">
        <v>2201</v>
      </c>
      <c r="B835" s="5" t="s">
        <v>2202</v>
      </c>
      <c r="C835" s="5" t="s">
        <v>26</v>
      </c>
      <c r="D835" s="5" t="s">
        <v>27</v>
      </c>
      <c r="E835" s="5" t="s">
        <v>606</v>
      </c>
      <c r="F835" s="9">
        <v>47</v>
      </c>
      <c r="G835" s="9">
        <v>492</v>
      </c>
      <c r="H835" s="5" t="s">
        <v>21</v>
      </c>
      <c r="I835" s="5" t="s">
        <v>2203</v>
      </c>
      <c r="J835" s="12" t="str">
        <f>HYPERLINK("https://www.boe.es/gazeta/dias/1803/06/14/pdfs/GMD-1803-47.pdf#page=4","Abrir facsímil")</f>
        <v>Abrir facsímil</v>
      </c>
      <c r="K835" s="15" t="s">
        <v>23</v>
      </c>
    </row>
    <row r="836" spans="1:11" ht="42" customHeight="1">
      <c r="A836" s="4" t="s">
        <v>2201</v>
      </c>
      <c r="B836" s="5" t="s">
        <v>2202</v>
      </c>
      <c r="C836" s="5" t="s">
        <v>40</v>
      </c>
      <c r="D836" s="5" t="s">
        <v>41</v>
      </c>
      <c r="E836" s="5" t="s">
        <v>519</v>
      </c>
      <c r="F836" s="9">
        <v>50</v>
      </c>
      <c r="G836" s="9">
        <v>533</v>
      </c>
      <c r="H836" s="5" t="s">
        <v>21</v>
      </c>
      <c r="I836" s="5" t="s">
        <v>2204</v>
      </c>
      <c r="J836" s="12" t="str">
        <f>HYPERLINK("https://www.boe.es/gazeta/dias/1803/06/24/pdfs/GMD-1803-50.pdf#page=1","Abrir facsímil")</f>
        <v>Abrir facsímil</v>
      </c>
      <c r="K836" s="15" t="s">
        <v>23</v>
      </c>
    </row>
    <row r="837" spans="1:11" ht="42" customHeight="1">
      <c r="A837" s="4" t="s">
        <v>2201</v>
      </c>
      <c r="B837" s="5" t="s">
        <v>2202</v>
      </c>
      <c r="C837" s="5" t="s">
        <v>51</v>
      </c>
      <c r="D837" s="5" t="s">
        <v>52</v>
      </c>
      <c r="E837" s="5" t="s">
        <v>77</v>
      </c>
      <c r="F837" s="9">
        <v>64</v>
      </c>
      <c r="G837" s="9">
        <v>696</v>
      </c>
      <c r="H837" s="5" t="s">
        <v>21</v>
      </c>
      <c r="I837" s="5" t="s">
        <v>2205</v>
      </c>
      <c r="J837" s="12" t="str">
        <f>HYPERLINK("https://www.boe.es/gazeta/dias/1803/08/12/pdfs/GMD-1803-64.pdf#page=4","Abrir facsímil")</f>
        <v>Abrir facsímil</v>
      </c>
      <c r="K837" s="15" t="s">
        <v>23</v>
      </c>
    </row>
    <row r="838" spans="1:11" ht="42" customHeight="1">
      <c r="A838" s="4" t="s">
        <v>2206</v>
      </c>
      <c r="B838" s="5" t="s">
        <v>2207</v>
      </c>
      <c r="C838" s="5" t="s">
        <v>40</v>
      </c>
      <c r="D838" s="5" t="s">
        <v>41</v>
      </c>
      <c r="E838" s="5" t="s">
        <v>109</v>
      </c>
      <c r="F838" s="9">
        <v>102</v>
      </c>
      <c r="G838" s="9">
        <v>1094</v>
      </c>
      <c r="H838" s="5" t="s">
        <v>21</v>
      </c>
      <c r="I838" s="5" t="s">
        <v>2208</v>
      </c>
      <c r="J838" s="12" t="str">
        <f>HYPERLINK("https://www.boe.es/gazeta/dias/1803/12/20/pdfs/GMD-1803-102.pdf#page=6","Abrir facsímil")</f>
        <v>Abrir facsímil</v>
      </c>
      <c r="K838" s="15" t="s">
        <v>23</v>
      </c>
    </row>
    <row r="839" spans="1:11" ht="42" customHeight="1">
      <c r="A839" s="4" t="s">
        <v>2209</v>
      </c>
      <c r="B839" s="5" t="s">
        <v>2210</v>
      </c>
      <c r="C839" s="5" t="s">
        <v>18</v>
      </c>
      <c r="D839" s="5" t="s">
        <v>19</v>
      </c>
      <c r="E839" s="5" t="s">
        <v>109</v>
      </c>
      <c r="F839" s="9">
        <v>102</v>
      </c>
      <c r="G839" s="9">
        <v>1097</v>
      </c>
      <c r="H839" s="5" t="s">
        <v>21</v>
      </c>
      <c r="I839" s="5" t="s">
        <v>2211</v>
      </c>
      <c r="J839" s="12" t="str">
        <f>HYPERLINK("https://www.boe.es/gazeta/dias/1803/12/20/pdfs/GMD-1803-102.pdf#page=9","Abrir facsímil")</f>
        <v>Abrir facsímil</v>
      </c>
      <c r="K839" s="15" t="s">
        <v>23</v>
      </c>
    </row>
    <row r="840" spans="1:11" ht="42" customHeight="1">
      <c r="A840" s="4" t="s">
        <v>2212</v>
      </c>
      <c r="B840" s="5" t="s">
        <v>2213</v>
      </c>
      <c r="C840" s="5" t="s">
        <v>26</v>
      </c>
      <c r="D840" s="5" t="s">
        <v>27</v>
      </c>
      <c r="E840" s="5" t="s">
        <v>657</v>
      </c>
      <c r="F840" s="9">
        <v>24</v>
      </c>
      <c r="G840" s="9">
        <v>256</v>
      </c>
      <c r="H840" s="5" t="s">
        <v>21</v>
      </c>
      <c r="I840" s="5" t="s">
        <v>2214</v>
      </c>
      <c r="J840" s="12" t="str">
        <f>HYPERLINK("https://www.boe.es/gazeta/dias/1803/03/25/pdfs/GMD-1803-24.pdf#page=8","Abrir facsímil")</f>
        <v>Abrir facsímil</v>
      </c>
      <c r="K840" s="15" t="s">
        <v>23</v>
      </c>
    </row>
    <row r="841" spans="1:11" ht="42" customHeight="1">
      <c r="A841" s="4" t="s">
        <v>2212</v>
      </c>
      <c r="B841" s="5" t="s">
        <v>2213</v>
      </c>
      <c r="C841" s="5" t="s">
        <v>26</v>
      </c>
      <c r="D841" s="5" t="s">
        <v>27</v>
      </c>
      <c r="E841" s="5" t="s">
        <v>207</v>
      </c>
      <c r="F841" s="9">
        <v>27</v>
      </c>
      <c r="G841" s="9">
        <v>293</v>
      </c>
      <c r="H841" s="5" t="s">
        <v>21</v>
      </c>
      <c r="I841" s="5" t="s">
        <v>2215</v>
      </c>
      <c r="J841" s="12" t="str">
        <f>HYPERLINK("https://www.boe.es/gazeta/dias/1803/04/05/pdfs/GMD-1803-27.pdf#page=9","Abrir facsímil")</f>
        <v>Abrir facsímil</v>
      </c>
      <c r="K841" s="15" t="s">
        <v>23</v>
      </c>
    </row>
    <row r="842" spans="1:11" ht="42" customHeight="1">
      <c r="A842" s="4" t="s">
        <v>2216</v>
      </c>
      <c r="B842" s="5" t="s">
        <v>2217</v>
      </c>
      <c r="C842" s="5" t="s">
        <v>80</v>
      </c>
      <c r="D842" s="5" t="s">
        <v>81</v>
      </c>
      <c r="E842" s="5" t="s">
        <v>439</v>
      </c>
      <c r="F842" s="9">
        <v>76</v>
      </c>
      <c r="G842" s="9">
        <v>824</v>
      </c>
      <c r="H842" s="5" t="s">
        <v>21</v>
      </c>
      <c r="I842" s="5" t="s">
        <v>2218</v>
      </c>
      <c r="J842" s="12" t="str">
        <f>HYPERLINK("https://www.boe.es/gazeta/dias/1803/09/20/pdfs/GMD-1803-76.pdf#page=12","Abrir facsímil")</f>
        <v>Abrir facsímil</v>
      </c>
      <c r="K842" s="15" t="s">
        <v>23</v>
      </c>
    </row>
    <row r="843" spans="1:11" ht="42" customHeight="1">
      <c r="A843" s="4" t="s">
        <v>2216</v>
      </c>
      <c r="B843" s="5" t="s">
        <v>2217</v>
      </c>
      <c r="C843" s="5" t="s">
        <v>80</v>
      </c>
      <c r="D843" s="5" t="s">
        <v>81</v>
      </c>
      <c r="E843" s="5" t="s">
        <v>496</v>
      </c>
      <c r="F843" s="9">
        <v>90</v>
      </c>
      <c r="G843" s="9">
        <v>968</v>
      </c>
      <c r="H843" s="5" t="s">
        <v>21</v>
      </c>
      <c r="I843" s="5" t="s">
        <v>2219</v>
      </c>
      <c r="J843" s="12" t="str">
        <f>HYPERLINK("https://www.boe.es/gazeta/dias/1803/11/08/pdfs/GMD-1803-90.pdf#page=8","Abrir facsímil")</f>
        <v>Abrir facsímil</v>
      </c>
      <c r="K843" s="15" t="s">
        <v>23</v>
      </c>
    </row>
    <row r="844" spans="1:11" ht="42" customHeight="1">
      <c r="A844" s="4" t="s">
        <v>2216</v>
      </c>
      <c r="B844" s="5" t="s">
        <v>2217</v>
      </c>
      <c r="C844" s="5" t="s">
        <v>80</v>
      </c>
      <c r="D844" s="5" t="s">
        <v>81</v>
      </c>
      <c r="E844" s="5" t="s">
        <v>571</v>
      </c>
      <c r="F844" s="9">
        <v>103</v>
      </c>
      <c r="G844" s="9">
        <v>1108</v>
      </c>
      <c r="H844" s="5" t="s">
        <v>21</v>
      </c>
      <c r="I844" s="5" t="s">
        <v>2220</v>
      </c>
      <c r="J844" s="12" t="str">
        <f>HYPERLINK("https://www.boe.es/gazeta/dias/1803/12/23/pdfs/GMD-1803-103.pdf#page=8","Abrir facsímil")</f>
        <v>Abrir facsímil</v>
      </c>
      <c r="K844" s="15" t="s">
        <v>23</v>
      </c>
    </row>
    <row r="845" spans="1:11" ht="42" customHeight="1">
      <c r="A845" s="4" t="s">
        <v>2221</v>
      </c>
      <c r="B845" s="5" t="s">
        <v>2222</v>
      </c>
      <c r="C845" s="5" t="s">
        <v>26</v>
      </c>
      <c r="D845" s="5" t="s">
        <v>27</v>
      </c>
      <c r="E845" s="5" t="s">
        <v>519</v>
      </c>
      <c r="F845" s="9">
        <v>50</v>
      </c>
      <c r="G845" s="9">
        <v>541</v>
      </c>
      <c r="H845" s="5" t="s">
        <v>21</v>
      </c>
      <c r="I845" s="5" t="s">
        <v>2223</v>
      </c>
      <c r="J845" s="12" t="str">
        <f>HYPERLINK("https://www.boe.es/gazeta/dias/1803/06/24/pdfs/GMD-1803-50.pdf#page=9","Abrir facsímil")</f>
        <v>Abrir facsímil</v>
      </c>
      <c r="K845" s="15" t="s">
        <v>23</v>
      </c>
    </row>
    <row r="846" spans="1:11" ht="42" customHeight="1">
      <c r="A846" s="4" t="s">
        <v>2224</v>
      </c>
      <c r="B846" s="5" t="s">
        <v>2225</v>
      </c>
      <c r="C846" s="5" t="s">
        <v>26</v>
      </c>
      <c r="D846" s="5" t="s">
        <v>27</v>
      </c>
      <c r="E846" s="5" t="s">
        <v>403</v>
      </c>
      <c r="F846" s="9">
        <v>91</v>
      </c>
      <c r="G846" s="9">
        <v>977</v>
      </c>
      <c r="H846" s="5" t="s">
        <v>21</v>
      </c>
      <c r="I846" s="5" t="s">
        <v>2226</v>
      </c>
      <c r="J846" s="12" t="str">
        <f>HYPERLINK("https://www.boe.es/gazeta/dias/1803/11/11/pdfs/GMD-1803-91.pdf#page=9","Abrir facsímil")</f>
        <v>Abrir facsímil</v>
      </c>
      <c r="K846" s="15" t="s">
        <v>23</v>
      </c>
    </row>
    <row r="847" spans="1:11" ht="42" customHeight="1">
      <c r="A847" s="4" t="s">
        <v>2227</v>
      </c>
      <c r="B847" s="5" t="s">
        <v>2228</v>
      </c>
      <c r="C847" s="5" t="s">
        <v>26</v>
      </c>
      <c r="D847" s="5" t="s">
        <v>27</v>
      </c>
      <c r="E847" s="5" t="s">
        <v>83</v>
      </c>
      <c r="F847" s="9">
        <v>28</v>
      </c>
      <c r="G847" s="9">
        <v>303</v>
      </c>
      <c r="H847" s="5" t="s">
        <v>21</v>
      </c>
      <c r="I847" s="5" t="s">
        <v>2229</v>
      </c>
      <c r="J847" s="12" t="str">
        <f>HYPERLINK("https://www.boe.es/gazeta/dias/1803/04/08/pdfs/GMD-1803-28.pdf#page=7","Abrir facsímil")</f>
        <v>Abrir facsímil</v>
      </c>
      <c r="K847" s="15" t="s">
        <v>23</v>
      </c>
    </row>
    <row r="848" spans="1:11" ht="42" customHeight="1">
      <c r="A848" s="4" t="s">
        <v>2227</v>
      </c>
      <c r="B848" s="5" t="s">
        <v>2228</v>
      </c>
      <c r="C848" s="5" t="s">
        <v>26</v>
      </c>
      <c r="D848" s="5" t="s">
        <v>27</v>
      </c>
      <c r="E848" s="5" t="s">
        <v>99</v>
      </c>
      <c r="F848" s="9">
        <v>29</v>
      </c>
      <c r="G848" s="9">
        <v>310</v>
      </c>
      <c r="H848" s="5" t="s">
        <v>21</v>
      </c>
      <c r="I848" s="5" t="s">
        <v>2230</v>
      </c>
      <c r="J848" s="12" t="str">
        <f>HYPERLINK("https://www.boe.es/gazeta/dias/1803/04/12/pdfs/GMD-1803-29.pdf#page=6","Abrir facsímil")</f>
        <v>Abrir facsímil</v>
      </c>
      <c r="K848" s="15" t="s">
        <v>23</v>
      </c>
    </row>
    <row r="849" spans="1:11" ht="42" customHeight="1">
      <c r="A849" s="4" t="s">
        <v>2231</v>
      </c>
      <c r="B849" s="5" t="s">
        <v>2232</v>
      </c>
      <c r="C849" s="5" t="s">
        <v>26</v>
      </c>
      <c r="D849" s="5" t="s">
        <v>27</v>
      </c>
      <c r="E849" s="5" t="s">
        <v>231</v>
      </c>
      <c r="F849" s="9">
        <v>26</v>
      </c>
      <c r="G849" s="9">
        <v>275</v>
      </c>
      <c r="H849" s="5" t="s">
        <v>21</v>
      </c>
      <c r="I849" s="5" t="s">
        <v>2233</v>
      </c>
      <c r="J849" s="12" t="str">
        <f>HYPERLINK("https://www.boe.es/gazeta/dias/1803/04/01/pdfs/GMD-1803-26.pdf#page=3","Abrir facsímil")</f>
        <v>Abrir facsímil</v>
      </c>
      <c r="K849" s="15" t="s">
        <v>23</v>
      </c>
    </row>
    <row r="850" spans="1:11" ht="42" customHeight="1">
      <c r="A850" s="4" t="s">
        <v>2231</v>
      </c>
      <c r="B850" s="5" t="s">
        <v>2232</v>
      </c>
      <c r="C850" s="5" t="s">
        <v>40</v>
      </c>
      <c r="D850" s="5" t="s">
        <v>41</v>
      </c>
      <c r="E850" s="5" t="s">
        <v>606</v>
      </c>
      <c r="F850" s="9">
        <v>47</v>
      </c>
      <c r="G850" s="9">
        <v>493</v>
      </c>
      <c r="H850" s="5" t="s">
        <v>21</v>
      </c>
      <c r="I850" s="5" t="s">
        <v>2234</v>
      </c>
      <c r="J850" s="12" t="str">
        <f>HYPERLINK("https://www.boe.es/gazeta/dias/1803/06/14/pdfs/GMD-1803-47.pdf#page=5","Abrir facsímil")</f>
        <v>Abrir facsímil</v>
      </c>
      <c r="K850" s="15" t="s">
        <v>23</v>
      </c>
    </row>
    <row r="851" spans="1:11" ht="42" customHeight="1">
      <c r="A851" s="4" t="s">
        <v>2231</v>
      </c>
      <c r="B851" s="5" t="s">
        <v>2232</v>
      </c>
      <c r="C851" s="5" t="s">
        <v>40</v>
      </c>
      <c r="D851" s="5" t="s">
        <v>41</v>
      </c>
      <c r="E851" s="5" t="s">
        <v>160</v>
      </c>
      <c r="F851" s="9">
        <v>81</v>
      </c>
      <c r="G851" s="9">
        <v>869</v>
      </c>
      <c r="H851" s="5" t="s">
        <v>21</v>
      </c>
      <c r="I851" s="5" t="s">
        <v>2235</v>
      </c>
      <c r="J851" s="12" t="str">
        <f>HYPERLINK("https://www.boe.es/gazeta/dias/1803/10/07/pdfs/GMD-1803-81.pdf#page=5","Abrir facsímil")</f>
        <v>Abrir facsímil</v>
      </c>
      <c r="K851" s="15" t="s">
        <v>23</v>
      </c>
    </row>
    <row r="852" spans="1:11" ht="42" customHeight="1">
      <c r="A852" s="4" t="s">
        <v>2231</v>
      </c>
      <c r="B852" s="5" t="s">
        <v>2232</v>
      </c>
      <c r="C852" s="5" t="s">
        <v>40</v>
      </c>
      <c r="D852" s="5" t="s">
        <v>41</v>
      </c>
      <c r="E852" s="5" t="s">
        <v>369</v>
      </c>
      <c r="F852" s="9">
        <v>100</v>
      </c>
      <c r="G852" s="9">
        <v>1069</v>
      </c>
      <c r="H852" s="5" t="s">
        <v>21</v>
      </c>
      <c r="I852" s="5" t="s">
        <v>2236</v>
      </c>
      <c r="J852" s="12" t="str">
        <f>HYPERLINK("https://www.boe.es/gazeta/dias/1803/12/13/pdfs/GMD-1803-100.pdf#page=5","Abrir facsímil")</f>
        <v>Abrir facsímil</v>
      </c>
      <c r="K852" s="15" t="s">
        <v>23</v>
      </c>
    </row>
    <row r="853" spans="1:11" ht="42" customHeight="1">
      <c r="A853" s="4" t="s">
        <v>2237</v>
      </c>
      <c r="B853" s="5" t="s">
        <v>2238</v>
      </c>
      <c r="C853" s="5" t="s">
        <v>18</v>
      </c>
      <c r="D853" s="5" t="s">
        <v>19</v>
      </c>
      <c r="E853" s="5" t="s">
        <v>124</v>
      </c>
      <c r="F853" s="9">
        <v>20</v>
      </c>
      <c r="G853" s="9">
        <v>210</v>
      </c>
      <c r="H853" s="5" t="s">
        <v>21</v>
      </c>
      <c r="I853" s="5" t="s">
        <v>2239</v>
      </c>
      <c r="J853" s="12" t="str">
        <f>HYPERLINK("https://www.boe.es/gazeta/dias/1803/03/11/pdfs/GMD-1803-20.pdf#page=6","Abrir facsímil")</f>
        <v>Abrir facsímil</v>
      </c>
      <c r="K853" s="15" t="s">
        <v>23</v>
      </c>
    </row>
    <row r="854" spans="1:11" ht="42" customHeight="1">
      <c r="A854" s="4" t="s">
        <v>2240</v>
      </c>
      <c r="B854" s="5" t="s">
        <v>2241</v>
      </c>
      <c r="C854" s="5" t="s">
        <v>40</v>
      </c>
      <c r="D854" s="5" t="s">
        <v>41</v>
      </c>
      <c r="E854" s="5" t="s">
        <v>117</v>
      </c>
      <c r="F854" s="9">
        <v>59</v>
      </c>
      <c r="G854" s="9">
        <v>645</v>
      </c>
      <c r="H854" s="5" t="s">
        <v>21</v>
      </c>
      <c r="I854" s="5" t="s">
        <v>2242</v>
      </c>
      <c r="J854" s="12" t="str">
        <f>HYPERLINK("https://www.boe.es/gazeta/dias/1803/07/26/pdfs/GMD-1803-59.pdf#page=5","Abrir facsímil")</f>
        <v>Abrir facsímil</v>
      </c>
      <c r="K854" s="15" t="s">
        <v>23</v>
      </c>
    </row>
    <row r="855" spans="1:11" ht="42" customHeight="1">
      <c r="A855" s="4" t="s">
        <v>2243</v>
      </c>
      <c r="B855" s="5" t="s">
        <v>2244</v>
      </c>
      <c r="C855" s="5" t="s">
        <v>26</v>
      </c>
      <c r="D855" s="5" t="s">
        <v>27</v>
      </c>
      <c r="E855" s="5" t="s">
        <v>71</v>
      </c>
      <c r="F855" s="9">
        <v>39</v>
      </c>
      <c r="G855" s="9">
        <v>412</v>
      </c>
      <c r="H855" s="5" t="s">
        <v>21</v>
      </c>
      <c r="I855" s="5" t="s">
        <v>2245</v>
      </c>
      <c r="J855" s="12" t="str">
        <f>HYPERLINK("https://www.boe.es/gazeta/dias/1803/05/17/pdfs/GMD-1803-39.pdf#page=8","Abrir facsímil")</f>
        <v>Abrir facsímil</v>
      </c>
      <c r="K855" s="15" t="s">
        <v>23</v>
      </c>
    </row>
    <row r="856" spans="1:11" ht="42" customHeight="1">
      <c r="A856" s="4" t="s">
        <v>2246</v>
      </c>
      <c r="B856" s="5" t="s">
        <v>2247</v>
      </c>
      <c r="C856" s="5" t="s">
        <v>26</v>
      </c>
      <c r="D856" s="5" t="s">
        <v>27</v>
      </c>
      <c r="E856" s="5" t="s">
        <v>250</v>
      </c>
      <c r="F856" s="9">
        <v>4</v>
      </c>
      <c r="G856" s="9">
        <v>35</v>
      </c>
      <c r="H856" s="5" t="s">
        <v>21</v>
      </c>
      <c r="I856" s="5" t="s">
        <v>2248</v>
      </c>
      <c r="J856" s="12" t="str">
        <f>HYPERLINK("https://www.boe.es/gazeta/dias/1803/01/14/pdfs/GMD-1803-4.pdf#page=7","Abrir facsímil")</f>
        <v>Abrir facsímil</v>
      </c>
      <c r="K856" s="15" t="s">
        <v>23</v>
      </c>
    </row>
    <row r="857" spans="1:11" ht="42" customHeight="1">
      <c r="A857" s="4" t="s">
        <v>2249</v>
      </c>
      <c r="B857" s="5" t="s">
        <v>2250</v>
      </c>
      <c r="C857" s="5" t="s">
        <v>26</v>
      </c>
      <c r="D857" s="5" t="s">
        <v>27</v>
      </c>
      <c r="E857" s="5" t="s">
        <v>501</v>
      </c>
      <c r="F857" s="9">
        <v>22</v>
      </c>
      <c r="G857" s="9">
        <v>237</v>
      </c>
      <c r="H857" s="5" t="s">
        <v>21</v>
      </c>
      <c r="I857" s="5" t="s">
        <v>2251</v>
      </c>
      <c r="J857" s="12" t="str">
        <f>HYPERLINK("https://www.boe.es/gazeta/dias/1803/03/18/pdfs/GMD-1803-22.pdf#page=9","Abrir facsímil")</f>
        <v>Abrir facsímil</v>
      </c>
      <c r="K857" s="15" t="s">
        <v>23</v>
      </c>
    </row>
    <row r="858" spans="1:11" ht="42" customHeight="1">
      <c r="A858" s="4" t="s">
        <v>2252</v>
      </c>
      <c r="B858" s="5" t="s">
        <v>2253</v>
      </c>
      <c r="C858" s="5" t="s">
        <v>51</v>
      </c>
      <c r="D858" s="5" t="s">
        <v>52</v>
      </c>
      <c r="E858" s="5" t="s">
        <v>514</v>
      </c>
      <c r="F858" s="9">
        <v>42</v>
      </c>
      <c r="G858" s="9">
        <v>438</v>
      </c>
      <c r="H858" s="5" t="s">
        <v>21</v>
      </c>
      <c r="I858" s="5" t="s">
        <v>2254</v>
      </c>
      <c r="J858" s="12" t="str">
        <f>HYPERLINK("https://www.boe.es/gazeta/dias/1803/05/27/pdfs/GMD-1803-42.pdf#page=6","Abrir facsímil")</f>
        <v>Abrir facsímil</v>
      </c>
      <c r="K858" s="15" t="s">
        <v>23</v>
      </c>
    </row>
    <row r="859" spans="1:11" ht="42" customHeight="1">
      <c r="A859" s="4" t="s">
        <v>2255</v>
      </c>
      <c r="B859" s="5" t="s">
        <v>2256</v>
      </c>
      <c r="C859" s="5" t="s">
        <v>26</v>
      </c>
      <c r="D859" s="5" t="s">
        <v>27</v>
      </c>
      <c r="E859" s="5" t="s">
        <v>328</v>
      </c>
      <c r="F859" s="9">
        <v>54</v>
      </c>
      <c r="G859" s="9">
        <v>590</v>
      </c>
      <c r="H859" s="5" t="s">
        <v>21</v>
      </c>
      <c r="I859" s="5" t="s">
        <v>2257</v>
      </c>
      <c r="J859" s="12" t="str">
        <f>HYPERLINK("https://www.boe.es/gazeta/dias/1803/07/08/pdfs/GMD-1803-54.pdf#page=10","Abrir facsímil")</f>
        <v>Abrir facsímil</v>
      </c>
      <c r="K859" s="15" t="s">
        <v>23</v>
      </c>
    </row>
    <row r="860" spans="1:11" ht="42" customHeight="1">
      <c r="A860" s="4" t="s">
        <v>2258</v>
      </c>
      <c r="B860" s="5" t="s">
        <v>2259</v>
      </c>
      <c r="C860" s="5" t="s">
        <v>18</v>
      </c>
      <c r="D860" s="5" t="s">
        <v>19</v>
      </c>
      <c r="E860" s="5" t="s">
        <v>391</v>
      </c>
      <c r="F860" s="9">
        <v>61</v>
      </c>
      <c r="G860" s="9">
        <v>668</v>
      </c>
      <c r="H860" s="5" t="s">
        <v>21</v>
      </c>
      <c r="I860" s="5" t="s">
        <v>2260</v>
      </c>
      <c r="J860" s="12" t="str">
        <f>HYPERLINK("https://www.boe.es/gazeta/dias/1803/08/02/pdfs/GMD-1803-61.pdf#page=8","Abrir facsímil")</f>
        <v>Abrir facsímil</v>
      </c>
      <c r="K860" s="15" t="s">
        <v>23</v>
      </c>
    </row>
    <row r="861" spans="1:11" ht="42" customHeight="1">
      <c r="A861" s="4" t="s">
        <v>2261</v>
      </c>
      <c r="B861" s="5" t="s">
        <v>2262</v>
      </c>
      <c r="C861" s="5" t="s">
        <v>80</v>
      </c>
      <c r="D861" s="5" t="s">
        <v>81</v>
      </c>
      <c r="E861" s="5" t="s">
        <v>102</v>
      </c>
      <c r="F861" s="9">
        <v>31</v>
      </c>
      <c r="G861" s="9">
        <v>328</v>
      </c>
      <c r="H861" s="5" t="s">
        <v>21</v>
      </c>
      <c r="I861" s="5" t="s">
        <v>2263</v>
      </c>
      <c r="J861" s="12" t="str">
        <f>HYPERLINK("https://www.boe.es/gazeta/dias/1803/04/19/pdfs/GMD-1803-31.pdf#page=8","Abrir facsímil")</f>
        <v>Abrir facsímil</v>
      </c>
      <c r="K861" s="15" t="s">
        <v>23</v>
      </c>
    </row>
    <row r="862" spans="1:11" ht="42" customHeight="1">
      <c r="A862" s="4" t="s">
        <v>2264</v>
      </c>
      <c r="B862" s="5" t="s">
        <v>2264</v>
      </c>
      <c r="C862" s="5" t="s">
        <v>40</v>
      </c>
      <c r="D862" s="5" t="s">
        <v>41</v>
      </c>
      <c r="E862" s="5" t="s">
        <v>53</v>
      </c>
      <c r="F862" s="9">
        <v>99</v>
      </c>
      <c r="G862" s="9">
        <v>1060</v>
      </c>
      <c r="H862" s="5" t="s">
        <v>21</v>
      </c>
      <c r="I862" s="5" t="s">
        <v>2265</v>
      </c>
      <c r="J862" s="12" t="str">
        <f>HYPERLINK("https://www.boe.es/gazeta/dias/1803/12/09/pdfs/GMD-1803-99.pdf#page=8","Abrir facsímil")</f>
        <v>Abrir facsímil</v>
      </c>
      <c r="K862" s="15" t="s">
        <v>23</v>
      </c>
    </row>
    <row r="863" spans="1:11" ht="42" customHeight="1">
      <c r="A863" s="4" t="s">
        <v>2266</v>
      </c>
      <c r="B863" s="5" t="s">
        <v>2266</v>
      </c>
      <c r="C863" s="5" t="s">
        <v>46</v>
      </c>
      <c r="D863" s="5" t="s">
        <v>19</v>
      </c>
      <c r="E863" s="5" t="s">
        <v>148</v>
      </c>
      <c r="F863" s="9">
        <v>15</v>
      </c>
      <c r="G863" s="9">
        <v>157</v>
      </c>
      <c r="H863" s="5" t="s">
        <v>21</v>
      </c>
      <c r="I863" s="5" t="s">
        <v>2267</v>
      </c>
      <c r="J863" s="12" t="str">
        <f>HYPERLINK("https://www.boe.es/gazeta/dias/1803/02/22/pdfs/GMD-1803-15.pdf#page=9","Abrir facsímil")</f>
        <v>Abrir facsímil</v>
      </c>
      <c r="K863" s="15" t="s">
        <v>23</v>
      </c>
    </row>
    <row r="864" spans="1:11" ht="42" customHeight="1">
      <c r="A864" s="4" t="s">
        <v>2268</v>
      </c>
      <c r="B864" s="5" t="s">
        <v>2268</v>
      </c>
      <c r="C864" s="5" t="s">
        <v>40</v>
      </c>
      <c r="D864" s="5" t="s">
        <v>41</v>
      </c>
      <c r="E864" s="5" t="s">
        <v>53</v>
      </c>
      <c r="F864" s="9">
        <v>99</v>
      </c>
      <c r="G864" s="9">
        <v>1060</v>
      </c>
      <c r="H864" s="5" t="s">
        <v>21</v>
      </c>
      <c r="I864" s="5" t="s">
        <v>2269</v>
      </c>
      <c r="J864" s="12" t="str">
        <f>HYPERLINK("https://www.boe.es/gazeta/dias/1803/12/09/pdfs/GMD-1803-99.pdf#page=8","Abrir facsímil")</f>
        <v>Abrir facsímil</v>
      </c>
      <c r="K864" s="15" t="s">
        <v>23</v>
      </c>
    </row>
    <row r="865" spans="1:11" ht="42" customHeight="1">
      <c r="A865" s="4" t="s">
        <v>2270</v>
      </c>
      <c r="B865" s="5" t="s">
        <v>2270</v>
      </c>
      <c r="C865" s="5" t="s">
        <v>225</v>
      </c>
      <c r="D865" s="5" t="s">
        <v>226</v>
      </c>
      <c r="E865" s="5" t="s">
        <v>191</v>
      </c>
      <c r="F865" s="9">
        <v>34</v>
      </c>
      <c r="G865" s="9" t="s">
        <v>2271</v>
      </c>
      <c r="H865" s="5" t="s">
        <v>21</v>
      </c>
      <c r="I865" s="5" t="s">
        <v>2272</v>
      </c>
      <c r="J865" s="12" t="str">
        <f>HYPERLINK("https://www.boe.es/gazeta/dias/1803/04/29/pdfs/GMD-C-1803-34.pdf#page=5","Abrir facsímil")</f>
        <v>Abrir facsímil</v>
      </c>
      <c r="K865" s="15" t="s">
        <v>23</v>
      </c>
    </row>
    <row r="866" spans="1:11" ht="42" customHeight="1">
      <c r="A866" s="4" t="s">
        <v>2273</v>
      </c>
      <c r="B866" s="5" t="s">
        <v>2273</v>
      </c>
      <c r="C866" s="5" t="s">
        <v>18</v>
      </c>
      <c r="D866" s="5" t="s">
        <v>19</v>
      </c>
      <c r="E866" s="5" t="s">
        <v>174</v>
      </c>
      <c r="F866" s="9">
        <v>21</v>
      </c>
      <c r="G866" s="9">
        <v>223</v>
      </c>
      <c r="H866" s="5" t="s">
        <v>21</v>
      </c>
      <c r="I866" s="5" t="s">
        <v>2274</v>
      </c>
      <c r="J866" s="12" t="str">
        <f>HYPERLINK("https://www.boe.es/gazeta/dias/1803/03/15/pdfs/GMD-1803-21.pdf#page=7","Abrir facsímil")</f>
        <v>Abrir facsímil</v>
      </c>
      <c r="K866" s="15" t="s">
        <v>23</v>
      </c>
    </row>
    <row r="867" spans="1:11" ht="42" customHeight="1">
      <c r="A867" s="4" t="s">
        <v>2275</v>
      </c>
      <c r="B867" s="5" t="s">
        <v>2275</v>
      </c>
      <c r="C867" s="5" t="s">
        <v>18</v>
      </c>
      <c r="D867" s="5" t="s">
        <v>19</v>
      </c>
      <c r="E867" s="5" t="s">
        <v>403</v>
      </c>
      <c r="F867" s="9">
        <v>91</v>
      </c>
      <c r="G867" s="9">
        <v>976</v>
      </c>
      <c r="H867" s="5" t="s">
        <v>21</v>
      </c>
      <c r="I867" s="5" t="s">
        <v>2276</v>
      </c>
      <c r="J867" s="12" t="str">
        <f>HYPERLINK("https://www.boe.es/gazeta/dias/1803/11/11/pdfs/GMD-1803-91.pdf#page=8","Abrir facsímil")</f>
        <v>Abrir facsímil</v>
      </c>
      <c r="K867" s="15" t="s">
        <v>23</v>
      </c>
    </row>
    <row r="868" spans="1:11" ht="42" customHeight="1">
      <c r="A868" s="4" t="s">
        <v>2277</v>
      </c>
      <c r="B868" s="5" t="s">
        <v>2277</v>
      </c>
      <c r="C868" s="5" t="s">
        <v>18</v>
      </c>
      <c r="D868" s="5" t="s">
        <v>19</v>
      </c>
      <c r="E868" s="5" t="s">
        <v>83</v>
      </c>
      <c r="F868" s="9">
        <v>28</v>
      </c>
      <c r="G868" s="9">
        <v>303</v>
      </c>
      <c r="H868" s="5" t="s">
        <v>21</v>
      </c>
      <c r="I868" s="5" t="s">
        <v>2278</v>
      </c>
      <c r="J868" s="12" t="str">
        <f>HYPERLINK("https://www.boe.es/gazeta/dias/1803/04/08/pdfs/GMD-1803-28.pdf#page=7","Abrir facsímil")</f>
        <v>Abrir facsímil</v>
      </c>
      <c r="K868" s="15" t="s">
        <v>23</v>
      </c>
    </row>
    <row r="869" spans="1:11" ht="42" customHeight="1">
      <c r="A869" s="4" t="s">
        <v>2279</v>
      </c>
      <c r="B869" s="5" t="s">
        <v>2279</v>
      </c>
      <c r="C869" s="5" t="s">
        <v>26</v>
      </c>
      <c r="D869" s="5" t="s">
        <v>27</v>
      </c>
      <c r="E869" s="5" t="s">
        <v>156</v>
      </c>
      <c r="F869" s="9">
        <v>2</v>
      </c>
      <c r="G869" s="9">
        <v>15</v>
      </c>
      <c r="H869" s="5" t="s">
        <v>21</v>
      </c>
      <c r="I869" s="5" t="s">
        <v>2280</v>
      </c>
      <c r="J869" s="12" t="str">
        <f>HYPERLINK("https://www.boe.es/gazeta/dias/1803/01/07/pdfs/GMD-1803-2.pdf#page=7","Abrir facsímil")</f>
        <v>Abrir facsímil</v>
      </c>
      <c r="K869" s="15" t="s">
        <v>23</v>
      </c>
    </row>
    <row r="870" spans="1:11" ht="42" customHeight="1">
      <c r="A870" s="4" t="s">
        <v>2281</v>
      </c>
      <c r="B870" s="5" t="s">
        <v>2282</v>
      </c>
      <c r="C870" s="5" t="s">
        <v>40</v>
      </c>
      <c r="D870" s="5" t="s">
        <v>41</v>
      </c>
      <c r="E870" s="5" t="s">
        <v>399</v>
      </c>
      <c r="F870" s="9">
        <v>95</v>
      </c>
      <c r="G870" s="9">
        <v>1014</v>
      </c>
      <c r="H870" s="5" t="s">
        <v>21</v>
      </c>
      <c r="I870" s="5" t="s">
        <v>2283</v>
      </c>
      <c r="J870" s="12" t="str">
        <f>HYPERLINK("https://www.boe.es/gazeta/dias/1803/11/25/pdfs/GMD-1803-95.pdf#page=2","Abrir facsímil")</f>
        <v>Abrir facsímil</v>
      </c>
      <c r="K870" s="15" t="s">
        <v>23</v>
      </c>
    </row>
    <row r="871" spans="1:11" ht="42" customHeight="1">
      <c r="A871" s="4" t="s">
        <v>2284</v>
      </c>
      <c r="B871" s="5" t="s">
        <v>2284</v>
      </c>
      <c r="C871" s="5" t="s">
        <v>40</v>
      </c>
      <c r="D871" s="5" t="s">
        <v>41</v>
      </c>
      <c r="E871" s="5" t="s">
        <v>369</v>
      </c>
      <c r="F871" s="9">
        <v>100</v>
      </c>
      <c r="G871" s="9">
        <v>1071</v>
      </c>
      <c r="H871" s="5" t="s">
        <v>21</v>
      </c>
      <c r="I871" s="5" t="s">
        <v>2285</v>
      </c>
      <c r="J871" s="12" t="str">
        <f>HYPERLINK("https://www.boe.es/gazeta/dias/1803/12/13/pdfs/GMD-1803-100.pdf#page=7","Abrir facsímil")</f>
        <v>Abrir facsímil</v>
      </c>
      <c r="K871" s="15" t="s">
        <v>23</v>
      </c>
    </row>
    <row r="872" spans="1:11" ht="42" customHeight="1">
      <c r="A872" s="4" t="s">
        <v>2286</v>
      </c>
      <c r="B872" s="5" t="s">
        <v>2286</v>
      </c>
      <c r="C872" s="5" t="s">
        <v>40</v>
      </c>
      <c r="D872" s="5" t="s">
        <v>41</v>
      </c>
      <c r="E872" s="5" t="s">
        <v>138</v>
      </c>
      <c r="F872" s="9">
        <v>68</v>
      </c>
      <c r="G872" s="9">
        <v>737</v>
      </c>
      <c r="H872" s="5" t="s">
        <v>21</v>
      </c>
      <c r="I872" s="5" t="s">
        <v>2287</v>
      </c>
      <c r="J872" s="12" t="str">
        <f>HYPERLINK("https://www.boe.es/gazeta/dias/1803/08/26/pdfs/GMD-1803-68.pdf#page=5","Abrir facsímil")</f>
        <v>Abrir facsímil</v>
      </c>
      <c r="K872" s="15" t="s">
        <v>23</v>
      </c>
    </row>
    <row r="873" spans="1:11" ht="42" customHeight="1">
      <c r="A873" s="4" t="s">
        <v>2288</v>
      </c>
      <c r="B873" s="5" t="s">
        <v>2289</v>
      </c>
      <c r="C873" s="5" t="s">
        <v>80</v>
      </c>
      <c r="D873" s="5" t="s">
        <v>81</v>
      </c>
      <c r="E873" s="5" t="s">
        <v>373</v>
      </c>
      <c r="F873" s="9">
        <v>77</v>
      </c>
      <c r="G873" s="9">
        <v>833</v>
      </c>
      <c r="H873" s="5" t="s">
        <v>21</v>
      </c>
      <c r="I873" s="5" t="s">
        <v>2290</v>
      </c>
      <c r="J873" s="12" t="str">
        <f>HYPERLINK("https://www.boe.es/gazeta/dias/1803/09/23/pdfs/GMD-1803-77.pdf#page=9","Abrir facsímil")</f>
        <v>Abrir facsímil</v>
      </c>
      <c r="K873" s="15" t="s">
        <v>23</v>
      </c>
    </row>
    <row r="874" spans="1:11" ht="42" customHeight="1">
      <c r="A874" s="4" t="s">
        <v>2291</v>
      </c>
      <c r="B874" s="5" t="s">
        <v>2292</v>
      </c>
      <c r="C874" s="5" t="s">
        <v>26</v>
      </c>
      <c r="D874" s="5" t="s">
        <v>27</v>
      </c>
      <c r="E874" s="5" t="s">
        <v>57</v>
      </c>
      <c r="F874" s="9">
        <v>51</v>
      </c>
      <c r="G874" s="9">
        <v>553</v>
      </c>
      <c r="H874" s="5" t="s">
        <v>21</v>
      </c>
      <c r="I874" s="5" t="s">
        <v>2293</v>
      </c>
      <c r="J874" s="12" t="str">
        <f>HYPERLINK("https://www.boe.es/gazeta/dias/1803/06/28/pdfs/GMD-1803-51.pdf#page=9","Abrir facsímil")</f>
        <v>Abrir facsímil</v>
      </c>
      <c r="K874" s="15" t="s">
        <v>23</v>
      </c>
    </row>
    <row r="875" spans="1:11" ht="42" customHeight="1">
      <c r="A875" s="4" t="s">
        <v>2294</v>
      </c>
      <c r="B875" s="5" t="s">
        <v>2294</v>
      </c>
      <c r="C875" s="5" t="s">
        <v>40</v>
      </c>
      <c r="D875" s="5" t="s">
        <v>41</v>
      </c>
      <c r="E875" s="5" t="s">
        <v>391</v>
      </c>
      <c r="F875" s="9">
        <v>61</v>
      </c>
      <c r="G875" s="9">
        <v>664</v>
      </c>
      <c r="H875" s="5" t="s">
        <v>21</v>
      </c>
      <c r="I875" s="5" t="s">
        <v>2295</v>
      </c>
      <c r="J875" s="12" t="str">
        <f>HYPERLINK("https://www.boe.es/gazeta/dias/1803/08/02/pdfs/GMD-1803-61.pdf#page=4","Abrir facsímil")</f>
        <v>Abrir facsímil</v>
      </c>
      <c r="K875" s="15" t="s">
        <v>23</v>
      </c>
    </row>
    <row r="876" spans="1:11" ht="42" customHeight="1">
      <c r="A876" s="4" t="s">
        <v>2296</v>
      </c>
      <c r="B876" s="5" t="s">
        <v>2297</v>
      </c>
      <c r="C876" s="5" t="s">
        <v>40</v>
      </c>
      <c r="D876" s="5" t="s">
        <v>41</v>
      </c>
      <c r="E876" s="5" t="s">
        <v>391</v>
      </c>
      <c r="F876" s="9">
        <v>61</v>
      </c>
      <c r="G876" s="9">
        <v>664</v>
      </c>
      <c r="H876" s="5" t="s">
        <v>21</v>
      </c>
      <c r="I876" s="5" t="s">
        <v>2298</v>
      </c>
      <c r="J876" s="12" t="str">
        <f>HYPERLINK("https://www.boe.es/gazeta/dias/1803/08/02/pdfs/GMD-1803-61.pdf#page=4","Abrir facsímil")</f>
        <v>Abrir facsímil</v>
      </c>
      <c r="K876" s="15" t="s">
        <v>23</v>
      </c>
    </row>
    <row r="877" spans="1:11" ht="42" customHeight="1">
      <c r="A877" s="4" t="s">
        <v>2299</v>
      </c>
      <c r="B877" s="5" t="s">
        <v>2300</v>
      </c>
      <c r="C877" s="5" t="s">
        <v>40</v>
      </c>
      <c r="D877" s="5" t="s">
        <v>41</v>
      </c>
      <c r="E877" s="5" t="s">
        <v>391</v>
      </c>
      <c r="F877" s="9">
        <v>61</v>
      </c>
      <c r="G877" s="9">
        <v>664</v>
      </c>
      <c r="H877" s="5" t="s">
        <v>21</v>
      </c>
      <c r="I877" s="5" t="s">
        <v>2301</v>
      </c>
      <c r="J877" s="12" t="str">
        <f>HYPERLINK("https://www.boe.es/gazeta/dias/1803/08/02/pdfs/GMD-1803-61.pdf#page=4","Abrir facsímil")</f>
        <v>Abrir facsímil</v>
      </c>
      <c r="K877" s="15" t="s">
        <v>23</v>
      </c>
    </row>
    <row r="878" spans="1:11" ht="42" customHeight="1">
      <c r="A878" s="4" t="s">
        <v>2302</v>
      </c>
      <c r="B878" s="5" t="s">
        <v>2302</v>
      </c>
      <c r="C878" s="5" t="s">
        <v>40</v>
      </c>
      <c r="D878" s="5" t="s">
        <v>41</v>
      </c>
      <c r="E878" s="5" t="s">
        <v>138</v>
      </c>
      <c r="F878" s="9">
        <v>68</v>
      </c>
      <c r="G878" s="9">
        <v>736</v>
      </c>
      <c r="H878" s="5" t="s">
        <v>21</v>
      </c>
      <c r="I878" s="5" t="s">
        <v>2303</v>
      </c>
      <c r="J878" s="12" t="str">
        <f>HYPERLINK("https://www.boe.es/gazeta/dias/1803/08/26/pdfs/GMD-1803-68.pdf#page=4","Abrir facsímil")</f>
        <v>Abrir facsímil</v>
      </c>
      <c r="K878" s="15" t="s">
        <v>23</v>
      </c>
    </row>
    <row r="879" spans="1:11" ht="42" customHeight="1">
      <c r="A879" s="4" t="s">
        <v>2304</v>
      </c>
      <c r="B879" s="5" t="s">
        <v>2305</v>
      </c>
      <c r="C879" s="5" t="s">
        <v>40</v>
      </c>
      <c r="D879" s="5" t="s">
        <v>41</v>
      </c>
      <c r="E879" s="5" t="s">
        <v>882</v>
      </c>
      <c r="F879" s="9">
        <v>60</v>
      </c>
      <c r="G879" s="9">
        <v>651</v>
      </c>
      <c r="H879" s="5" t="s">
        <v>21</v>
      </c>
      <c r="I879" s="5" t="s">
        <v>2306</v>
      </c>
      <c r="J879" s="12" t="str">
        <f>HYPERLINK("https://www.boe.es/gazeta/dias/1803/07/29/pdfs/GMD-1803-60.pdf#page=3","Abrir facsímil")</f>
        <v>Abrir facsímil</v>
      </c>
      <c r="K879" s="15" t="s">
        <v>23</v>
      </c>
    </row>
    <row r="880" spans="1:11" ht="42" customHeight="1">
      <c r="A880" s="4" t="s">
        <v>2304</v>
      </c>
      <c r="B880" s="5" t="s">
        <v>2305</v>
      </c>
      <c r="C880" s="5" t="s">
        <v>40</v>
      </c>
      <c r="D880" s="5" t="s">
        <v>41</v>
      </c>
      <c r="E880" s="5" t="s">
        <v>910</v>
      </c>
      <c r="F880" s="9">
        <v>66</v>
      </c>
      <c r="G880" s="9">
        <v>716</v>
      </c>
      <c r="H880" s="5" t="s">
        <v>21</v>
      </c>
      <c r="I880" s="5" t="s">
        <v>2307</v>
      </c>
      <c r="J880" s="12" t="str">
        <f>HYPERLINK("https://www.boe.es/gazeta/dias/1803/08/19/pdfs/GMD-1803-66.pdf#page=4","Abrir facsímil")</f>
        <v>Abrir facsímil</v>
      </c>
      <c r="K880" s="15" t="s">
        <v>23</v>
      </c>
    </row>
    <row r="881" spans="1:11" ht="42" customHeight="1">
      <c r="A881" s="4" t="s">
        <v>2304</v>
      </c>
      <c r="B881" s="5" t="s">
        <v>2305</v>
      </c>
      <c r="C881" s="5" t="s">
        <v>40</v>
      </c>
      <c r="D881" s="5" t="s">
        <v>41</v>
      </c>
      <c r="E881" s="5" t="s">
        <v>138</v>
      </c>
      <c r="F881" s="9">
        <v>68</v>
      </c>
      <c r="G881" s="9">
        <v>735</v>
      </c>
      <c r="H881" s="5" t="s">
        <v>21</v>
      </c>
      <c r="I881" s="5" t="s">
        <v>2308</v>
      </c>
      <c r="J881" s="12" t="str">
        <f>HYPERLINK("https://www.boe.es/gazeta/dias/1803/08/26/pdfs/GMD-1803-68.pdf#page=3","Abrir facsímil")</f>
        <v>Abrir facsímil</v>
      </c>
      <c r="K881" s="15" t="s">
        <v>23</v>
      </c>
    </row>
    <row r="882" spans="1:11" ht="42" customHeight="1">
      <c r="A882" s="4" t="s">
        <v>2304</v>
      </c>
      <c r="B882" s="5" t="s">
        <v>2305</v>
      </c>
      <c r="C882" s="5" t="s">
        <v>40</v>
      </c>
      <c r="D882" s="5" t="s">
        <v>41</v>
      </c>
      <c r="E882" s="5" t="s">
        <v>138</v>
      </c>
      <c r="F882" s="9">
        <v>68</v>
      </c>
      <c r="G882" s="9">
        <v>736</v>
      </c>
      <c r="H882" s="5" t="s">
        <v>21</v>
      </c>
      <c r="I882" s="5" t="s">
        <v>2309</v>
      </c>
      <c r="J882" s="12" t="str">
        <f>HYPERLINK("https://www.boe.es/gazeta/dias/1803/08/26/pdfs/GMD-1803-68.pdf#page=4","Abrir facsímil")</f>
        <v>Abrir facsímil</v>
      </c>
      <c r="K882" s="15" t="s">
        <v>23</v>
      </c>
    </row>
    <row r="883" spans="1:11" ht="42" customHeight="1">
      <c r="A883" s="4" t="s">
        <v>2304</v>
      </c>
      <c r="B883" s="5" t="s">
        <v>2305</v>
      </c>
      <c r="C883" s="5" t="s">
        <v>80</v>
      </c>
      <c r="D883" s="5" t="s">
        <v>81</v>
      </c>
      <c r="E883" s="5" t="s">
        <v>138</v>
      </c>
      <c r="F883" s="9">
        <v>68</v>
      </c>
      <c r="G883" s="9">
        <v>737</v>
      </c>
      <c r="H883" s="5" t="s">
        <v>21</v>
      </c>
      <c r="I883" s="5" t="s">
        <v>2310</v>
      </c>
      <c r="J883" s="12" t="str">
        <f>HYPERLINK("https://www.boe.es/gazeta/dias/1803/08/26/pdfs/GMD-1803-68.pdf#page=5","Abrir facsímil")</f>
        <v>Abrir facsímil</v>
      </c>
      <c r="K883" s="15" t="s">
        <v>23</v>
      </c>
    </row>
    <row r="884" spans="1:11" ht="42" customHeight="1">
      <c r="A884" s="4" t="s">
        <v>2304</v>
      </c>
      <c r="B884" s="5" t="s">
        <v>2305</v>
      </c>
      <c r="C884" s="5" t="s">
        <v>40</v>
      </c>
      <c r="D884" s="5" t="s">
        <v>41</v>
      </c>
      <c r="E884" s="5" t="s">
        <v>261</v>
      </c>
      <c r="F884" s="9">
        <v>70</v>
      </c>
      <c r="G884" s="9">
        <v>763</v>
      </c>
      <c r="H884" s="5" t="s">
        <v>21</v>
      </c>
      <c r="I884" s="5" t="s">
        <v>2311</v>
      </c>
      <c r="J884" s="12" t="str">
        <f>HYPERLINK("https://www.boe.es/gazeta/dias/1803/09/02/pdfs/GMD-1803-70.pdf#page=3","Abrir facsímil")</f>
        <v>Abrir facsímil</v>
      </c>
      <c r="K884" s="15" t="s">
        <v>23</v>
      </c>
    </row>
    <row r="885" spans="1:11" ht="42" customHeight="1">
      <c r="A885" s="4" t="s">
        <v>2304</v>
      </c>
      <c r="B885" s="5" t="s">
        <v>2305</v>
      </c>
      <c r="C885" s="5" t="s">
        <v>40</v>
      </c>
      <c r="D885" s="5" t="s">
        <v>41</v>
      </c>
      <c r="E885" s="5" t="s">
        <v>261</v>
      </c>
      <c r="F885" s="9">
        <v>70</v>
      </c>
      <c r="G885" s="9">
        <v>764</v>
      </c>
      <c r="H885" s="5" t="s">
        <v>21</v>
      </c>
      <c r="I885" s="5" t="s">
        <v>2312</v>
      </c>
      <c r="J885" s="12" t="str">
        <f>HYPERLINK("https://www.boe.es/gazeta/dias/1803/09/02/pdfs/GMD-1803-70.pdf#page=4","Abrir facsímil")</f>
        <v>Abrir facsímil</v>
      </c>
      <c r="K885" s="15" t="s">
        <v>23</v>
      </c>
    </row>
    <row r="886" spans="1:11" ht="42" customHeight="1">
      <c r="A886" s="4" t="s">
        <v>2304</v>
      </c>
      <c r="B886" s="5" t="s">
        <v>2305</v>
      </c>
      <c r="C886" s="5" t="s">
        <v>40</v>
      </c>
      <c r="D886" s="5" t="s">
        <v>41</v>
      </c>
      <c r="E886" s="5" t="s">
        <v>439</v>
      </c>
      <c r="F886" s="9">
        <v>76</v>
      </c>
      <c r="G886" s="9">
        <v>818</v>
      </c>
      <c r="H886" s="5" t="s">
        <v>21</v>
      </c>
      <c r="I886" s="5" t="s">
        <v>2313</v>
      </c>
      <c r="J886" s="12" t="str">
        <f>HYPERLINK("https://www.boe.es/gazeta/dias/1803/09/20/pdfs/GMD-1803-76.pdf#page=6","Abrir facsímil")</f>
        <v>Abrir facsímil</v>
      </c>
      <c r="K886" s="15" t="s">
        <v>23</v>
      </c>
    </row>
    <row r="887" spans="1:11" ht="42" customHeight="1">
      <c r="A887" s="4" t="s">
        <v>2314</v>
      </c>
      <c r="B887" s="5" t="s">
        <v>2315</v>
      </c>
      <c r="C887" s="5" t="s">
        <v>26</v>
      </c>
      <c r="D887" s="5" t="s">
        <v>27</v>
      </c>
      <c r="E887" s="5" t="s">
        <v>795</v>
      </c>
      <c r="F887" s="9">
        <v>98</v>
      </c>
      <c r="G887" s="9">
        <v>1050</v>
      </c>
      <c r="H887" s="5" t="s">
        <v>21</v>
      </c>
      <c r="I887" s="5" t="s">
        <v>2316</v>
      </c>
      <c r="J887" s="12" t="str">
        <f>HYPERLINK("https://www.boe.es/gazeta/dias/1803/12/06/pdfs/GMD-1803-98.pdf#page=6","Abrir facsímil")</f>
        <v>Abrir facsímil</v>
      </c>
      <c r="K887" s="15" t="s">
        <v>23</v>
      </c>
    </row>
    <row r="888" spans="1:11" ht="42" customHeight="1">
      <c r="A888" s="4" t="s">
        <v>2317</v>
      </c>
      <c r="B888" s="5" t="s">
        <v>2318</v>
      </c>
      <c r="C888" s="5" t="s">
        <v>40</v>
      </c>
      <c r="D888" s="5" t="s">
        <v>41</v>
      </c>
      <c r="E888" s="5" t="s">
        <v>164</v>
      </c>
      <c r="F888" s="9">
        <v>84</v>
      </c>
      <c r="G888" s="9">
        <v>901</v>
      </c>
      <c r="H888" s="5" t="s">
        <v>21</v>
      </c>
      <c r="I888" s="5" t="s">
        <v>2319</v>
      </c>
      <c r="J888" s="12" t="str">
        <f>HYPERLINK("https://www.boe.es/gazeta/dias/1803/10/18/pdfs/GMD-1803-84.pdf#page=5","Abrir facsímil")</f>
        <v>Abrir facsímil</v>
      </c>
      <c r="K888" s="15" t="s">
        <v>23</v>
      </c>
    </row>
    <row r="889" spans="1:11" ht="42" customHeight="1">
      <c r="A889" s="4" t="s">
        <v>2320</v>
      </c>
      <c r="B889" s="5" t="s">
        <v>2320</v>
      </c>
      <c r="C889" s="5" t="s">
        <v>26</v>
      </c>
      <c r="D889" s="5" t="s">
        <v>27</v>
      </c>
      <c r="E889" s="5" t="s">
        <v>138</v>
      </c>
      <c r="F889" s="9">
        <v>68</v>
      </c>
      <c r="G889" s="9">
        <v>742</v>
      </c>
      <c r="H889" s="5" t="s">
        <v>21</v>
      </c>
      <c r="I889" s="5" t="s">
        <v>2321</v>
      </c>
      <c r="J889" s="12" t="str">
        <f>HYPERLINK("https://www.boe.es/gazeta/dias/1803/08/26/pdfs/GMD-1803-68.pdf#page=10","Abrir facsímil")</f>
        <v>Abrir facsímil</v>
      </c>
      <c r="K889" s="15" t="s">
        <v>23</v>
      </c>
    </row>
    <row r="890" spans="1:11" ht="42" customHeight="1">
      <c r="A890" s="4" t="s">
        <v>2322</v>
      </c>
      <c r="B890" s="5" t="s">
        <v>2322</v>
      </c>
      <c r="C890" s="5" t="s">
        <v>51</v>
      </c>
      <c r="D890" s="5" t="s">
        <v>52</v>
      </c>
      <c r="E890" s="5" t="s">
        <v>373</v>
      </c>
      <c r="F890" s="9">
        <v>77</v>
      </c>
      <c r="G890" s="9">
        <v>833</v>
      </c>
      <c r="H890" s="5" t="s">
        <v>21</v>
      </c>
      <c r="I890" s="5" t="s">
        <v>2323</v>
      </c>
      <c r="J890" s="12" t="str">
        <f>HYPERLINK("https://www.boe.es/gazeta/dias/1803/09/23/pdfs/GMD-1803-77.pdf#page=9","Abrir facsímil")</f>
        <v>Abrir facsímil</v>
      </c>
      <c r="K890" s="15" t="s">
        <v>23</v>
      </c>
    </row>
    <row r="891" spans="1:11" ht="42" customHeight="1">
      <c r="A891" s="4" t="s">
        <v>2324</v>
      </c>
      <c r="B891" s="5" t="s">
        <v>2324</v>
      </c>
      <c r="C891" s="5" t="s">
        <v>26</v>
      </c>
      <c r="D891" s="5" t="s">
        <v>27</v>
      </c>
      <c r="E891" s="5" t="s">
        <v>321</v>
      </c>
      <c r="F891" s="9">
        <v>94</v>
      </c>
      <c r="G891" s="9">
        <v>1010</v>
      </c>
      <c r="H891" s="5" t="s">
        <v>21</v>
      </c>
      <c r="I891" s="5" t="s">
        <v>2325</v>
      </c>
      <c r="J891" s="12" t="str">
        <f>HYPERLINK("https://www.boe.es/gazeta/dias/1803/11/22/pdfs/GMD-1803-94.pdf#page=10","Abrir facsímil")</f>
        <v>Abrir facsímil</v>
      </c>
      <c r="K891" s="15" t="s">
        <v>23</v>
      </c>
    </row>
    <row r="892" spans="1:11" ht="42" customHeight="1">
      <c r="A892" s="4" t="s">
        <v>2326</v>
      </c>
      <c r="B892" s="5" t="s">
        <v>2327</v>
      </c>
      <c r="C892" s="5" t="s">
        <v>26</v>
      </c>
      <c r="D892" s="5" t="s">
        <v>27</v>
      </c>
      <c r="E892" s="5" t="s">
        <v>501</v>
      </c>
      <c r="F892" s="9">
        <v>22</v>
      </c>
      <c r="G892" s="9">
        <v>237</v>
      </c>
      <c r="H892" s="5" t="s">
        <v>21</v>
      </c>
      <c r="I892" s="5" t="s">
        <v>2328</v>
      </c>
      <c r="J892" s="12" t="str">
        <f>HYPERLINK("https://www.boe.es/gazeta/dias/1803/03/18/pdfs/GMD-1803-22.pdf#page=9","Abrir facsímil")</f>
        <v>Abrir facsímil</v>
      </c>
      <c r="K892" s="15" t="s">
        <v>23</v>
      </c>
    </row>
    <row r="893" spans="1:11" ht="42" customHeight="1">
      <c r="A893" s="4" t="s">
        <v>2329</v>
      </c>
      <c r="B893" s="5" t="s">
        <v>2330</v>
      </c>
      <c r="C893" s="5" t="s">
        <v>26</v>
      </c>
      <c r="D893" s="5" t="s">
        <v>27</v>
      </c>
      <c r="E893" s="5" t="s">
        <v>191</v>
      </c>
      <c r="F893" s="9">
        <v>34</v>
      </c>
      <c r="G893" s="9">
        <v>358</v>
      </c>
      <c r="H893" s="5" t="s">
        <v>21</v>
      </c>
      <c r="I893" s="5" t="s">
        <v>2331</v>
      </c>
      <c r="J893" s="12" t="str">
        <f>HYPERLINK("https://www.boe.es/gazeta/dias/1803/04/29/pdfs/GMD-1803-34.pdf#page=6","Abrir facsímil")</f>
        <v>Abrir facsímil</v>
      </c>
      <c r="K893" s="15" t="s">
        <v>23</v>
      </c>
    </row>
    <row r="894" spans="1:11" ht="42" customHeight="1">
      <c r="A894" s="4" t="s">
        <v>2332</v>
      </c>
      <c r="B894" s="5" t="s">
        <v>2332</v>
      </c>
      <c r="C894" s="5" t="s">
        <v>26</v>
      </c>
      <c r="D894" s="5" t="s">
        <v>27</v>
      </c>
      <c r="E894" s="5" t="s">
        <v>509</v>
      </c>
      <c r="F894" s="9">
        <v>6</v>
      </c>
      <c r="G894" s="9">
        <v>50</v>
      </c>
      <c r="H894" s="5" t="s">
        <v>21</v>
      </c>
      <c r="I894" s="5" t="s">
        <v>2333</v>
      </c>
      <c r="J894" s="12" t="str">
        <f>HYPERLINK("https://www.boe.es/gazeta/dias/1803/01/21/pdfs/GMD-1803-6.pdf#page=2","Abrir facsímil")</f>
        <v>Abrir facsímil</v>
      </c>
      <c r="K894" s="15" t="s">
        <v>23</v>
      </c>
    </row>
    <row r="895" spans="1:11" ht="42" customHeight="1">
      <c r="A895" s="4" t="s">
        <v>2334</v>
      </c>
      <c r="B895" s="5" t="s">
        <v>2335</v>
      </c>
      <c r="C895" s="5" t="s">
        <v>80</v>
      </c>
      <c r="D895" s="5" t="s">
        <v>81</v>
      </c>
      <c r="E895" s="5" t="s">
        <v>138</v>
      </c>
      <c r="F895" s="9">
        <v>68</v>
      </c>
      <c r="G895" s="9">
        <v>744</v>
      </c>
      <c r="H895" s="5" t="s">
        <v>21</v>
      </c>
      <c r="I895" s="5" t="s">
        <v>2336</v>
      </c>
      <c r="J895" s="12" t="str">
        <f>HYPERLINK("https://www.boe.es/gazeta/dias/1803/08/26/pdfs/GMD-1803-68.pdf#page=12","Abrir facsímil")</f>
        <v>Abrir facsímil</v>
      </c>
      <c r="K895" s="15" t="s">
        <v>23</v>
      </c>
    </row>
    <row r="896" spans="1:11" ht="42" customHeight="1">
      <c r="A896" s="4" t="s">
        <v>2337</v>
      </c>
      <c r="B896" s="5" t="s">
        <v>2338</v>
      </c>
      <c r="C896" s="5" t="s">
        <v>26</v>
      </c>
      <c r="D896" s="5" t="s">
        <v>27</v>
      </c>
      <c r="E896" s="5" t="s">
        <v>203</v>
      </c>
      <c r="F896" s="9">
        <v>32</v>
      </c>
      <c r="G896" s="9">
        <v>336</v>
      </c>
      <c r="H896" s="5" t="s">
        <v>21</v>
      </c>
      <c r="I896" s="5" t="s">
        <v>2339</v>
      </c>
      <c r="J896" s="12" t="str">
        <f>HYPERLINK("https://www.boe.es/gazeta/dias/1803/04/22/pdfs/GMD-1803-32.pdf#page=8","Abrir facsímil")</f>
        <v>Abrir facsímil</v>
      </c>
      <c r="K896" s="15" t="s">
        <v>23</v>
      </c>
    </row>
    <row r="897" spans="1:11" ht="42" customHeight="1">
      <c r="A897" s="4" t="s">
        <v>2340</v>
      </c>
      <c r="B897" s="5" t="s">
        <v>2341</v>
      </c>
      <c r="C897" s="5" t="s">
        <v>26</v>
      </c>
      <c r="D897" s="5" t="s">
        <v>27</v>
      </c>
      <c r="E897" s="5" t="s">
        <v>124</v>
      </c>
      <c r="F897" s="9">
        <v>20</v>
      </c>
      <c r="G897" s="9">
        <v>210</v>
      </c>
      <c r="H897" s="5" t="s">
        <v>21</v>
      </c>
      <c r="I897" s="5" t="s">
        <v>2342</v>
      </c>
      <c r="J897" s="12" t="str">
        <f>HYPERLINK("https://www.boe.es/gazeta/dias/1803/03/11/pdfs/GMD-1803-20.pdf#page=6","Abrir facsímil")</f>
        <v>Abrir facsímil</v>
      </c>
      <c r="K897" s="15" t="s">
        <v>23</v>
      </c>
    </row>
    <row r="898" spans="1:11" ht="42" customHeight="1">
      <c r="A898" s="4" t="s">
        <v>2343</v>
      </c>
      <c r="B898" s="5" t="s">
        <v>2344</v>
      </c>
      <c r="C898" s="5" t="s">
        <v>51</v>
      </c>
      <c r="D898" s="5" t="s">
        <v>52</v>
      </c>
      <c r="E898" s="5" t="s">
        <v>189</v>
      </c>
      <c r="F898" s="9">
        <v>9</v>
      </c>
      <c r="G898" s="9">
        <v>93</v>
      </c>
      <c r="H898" s="5" t="s">
        <v>21</v>
      </c>
      <c r="I898" s="5" t="s">
        <v>2345</v>
      </c>
      <c r="J898" s="12" t="str">
        <f>HYPERLINK("https://www.boe.es/gazeta/dias/1803/02/01/pdfs/GMD-1803-9.pdf#page=9","Abrir facsímil")</f>
        <v>Abrir facsímil</v>
      </c>
      <c r="K898" s="15" t="s">
        <v>23</v>
      </c>
    </row>
    <row r="899" spans="1:11" ht="42" customHeight="1">
      <c r="A899" s="4" t="s">
        <v>2346</v>
      </c>
      <c r="B899" s="5" t="s">
        <v>2347</v>
      </c>
      <c r="C899" s="5" t="s">
        <v>51</v>
      </c>
      <c r="D899" s="5" t="s">
        <v>52</v>
      </c>
      <c r="E899" s="5" t="s">
        <v>496</v>
      </c>
      <c r="F899" s="9">
        <v>90</v>
      </c>
      <c r="G899" s="9">
        <v>966</v>
      </c>
      <c r="H899" s="5" t="s">
        <v>21</v>
      </c>
      <c r="I899" s="5" t="s">
        <v>2348</v>
      </c>
      <c r="J899" s="12" t="str">
        <f>HYPERLINK("https://www.boe.es/gazeta/dias/1803/11/08/pdfs/GMD-1803-90.pdf#page=6","Abrir facsímil")</f>
        <v>Abrir facsímil</v>
      </c>
      <c r="K899" s="15" t="s">
        <v>23</v>
      </c>
    </row>
    <row r="900" spans="1:11" ht="42" customHeight="1">
      <c r="A900" s="4" t="s">
        <v>2349</v>
      </c>
      <c r="B900" s="5" t="s">
        <v>2350</v>
      </c>
      <c r="C900" s="5" t="s">
        <v>26</v>
      </c>
      <c r="D900" s="5" t="s">
        <v>27</v>
      </c>
      <c r="E900" s="5" t="s">
        <v>501</v>
      </c>
      <c r="F900" s="9">
        <v>22</v>
      </c>
      <c r="G900" s="9">
        <v>237</v>
      </c>
      <c r="H900" s="5" t="s">
        <v>21</v>
      </c>
      <c r="I900" s="5" t="s">
        <v>2351</v>
      </c>
      <c r="J900" s="12" t="str">
        <f>HYPERLINK("https://www.boe.es/gazeta/dias/1803/03/18/pdfs/GMD-1803-22.pdf#page=9","Abrir facsímil")</f>
        <v>Abrir facsímil</v>
      </c>
      <c r="K900" s="15" t="s">
        <v>23</v>
      </c>
    </row>
    <row r="901" spans="1:11" ht="42" customHeight="1">
      <c r="A901" s="4" t="s">
        <v>2352</v>
      </c>
      <c r="B901" s="5" t="s">
        <v>2353</v>
      </c>
      <c r="C901" s="5" t="s">
        <v>26</v>
      </c>
      <c r="D901" s="5" t="s">
        <v>27</v>
      </c>
      <c r="E901" s="5" t="s">
        <v>117</v>
      </c>
      <c r="F901" s="9">
        <v>59</v>
      </c>
      <c r="G901" s="9">
        <v>647</v>
      </c>
      <c r="H901" s="5" t="s">
        <v>21</v>
      </c>
      <c r="I901" s="5" t="s">
        <v>2354</v>
      </c>
      <c r="J901" s="12" t="str">
        <f>HYPERLINK("https://www.boe.es/gazeta/dias/1803/07/26/pdfs/GMD-1803-59.pdf#page=7","Abrir facsímil")</f>
        <v>Abrir facsímil</v>
      </c>
      <c r="K901" s="15" t="s">
        <v>23</v>
      </c>
    </row>
    <row r="902" spans="1:11" ht="42" customHeight="1">
      <c r="A902" s="4" t="s">
        <v>2355</v>
      </c>
      <c r="B902" s="5" t="s">
        <v>2355</v>
      </c>
      <c r="C902" s="5" t="s">
        <v>40</v>
      </c>
      <c r="D902" s="5" t="s">
        <v>41</v>
      </c>
      <c r="E902" s="5" t="s">
        <v>303</v>
      </c>
      <c r="F902" s="9">
        <v>8</v>
      </c>
      <c r="G902" s="9">
        <v>75</v>
      </c>
      <c r="H902" s="5" t="s">
        <v>21</v>
      </c>
      <c r="I902" s="5" t="s">
        <v>2356</v>
      </c>
      <c r="J902" s="12" t="str">
        <f>HYPERLINK("https://www.boe.es/gazeta/dias/1803/01/28/pdfs/GMD-1803-8.pdf#page=3","Abrir facsímil")</f>
        <v>Abrir facsímil</v>
      </c>
      <c r="K902" s="15" t="s">
        <v>23</v>
      </c>
    </row>
    <row r="903" spans="1:11" ht="42" customHeight="1">
      <c r="A903" s="4" t="s">
        <v>2357</v>
      </c>
      <c r="B903" s="5" t="s">
        <v>2358</v>
      </c>
      <c r="C903" s="5" t="s">
        <v>40</v>
      </c>
      <c r="D903" s="5" t="s">
        <v>41</v>
      </c>
      <c r="E903" s="5" t="s">
        <v>389</v>
      </c>
      <c r="F903" s="9">
        <v>41</v>
      </c>
      <c r="G903" s="9">
        <v>428</v>
      </c>
      <c r="H903" s="5" t="s">
        <v>21</v>
      </c>
      <c r="I903" s="5" t="s">
        <v>2359</v>
      </c>
      <c r="J903" s="12" t="str">
        <f>HYPERLINK("https://www.boe.es/gazeta/dias/1803/05/24/pdfs/GMD-1803-41.pdf#page=4","Abrir facsímil")</f>
        <v>Abrir facsímil</v>
      </c>
      <c r="K903" s="15" t="s">
        <v>23</v>
      </c>
    </row>
    <row r="904" spans="1:11" ht="42" customHeight="1">
      <c r="A904" s="4" t="s">
        <v>2360</v>
      </c>
      <c r="B904" s="5" t="s">
        <v>2361</v>
      </c>
      <c r="C904" s="5" t="s">
        <v>18</v>
      </c>
      <c r="D904" s="5" t="s">
        <v>19</v>
      </c>
      <c r="E904" s="5" t="s">
        <v>609</v>
      </c>
      <c r="F904" s="9">
        <v>57</v>
      </c>
      <c r="G904" s="9">
        <v>619</v>
      </c>
      <c r="H904" s="5" t="s">
        <v>21</v>
      </c>
      <c r="I904" s="5" t="s">
        <v>2362</v>
      </c>
      <c r="J904" s="12" t="str">
        <f>HYPERLINK("https://www.boe.es/gazeta/dias/1803/07/19/pdfs/GMD-1803-57.pdf#page=7","Abrir facsímil")</f>
        <v>Abrir facsímil</v>
      </c>
      <c r="K904" s="15" t="s">
        <v>23</v>
      </c>
    </row>
    <row r="905" spans="1:11" ht="42" customHeight="1">
      <c r="A905" s="4" t="s">
        <v>2363</v>
      </c>
      <c r="B905" s="5" t="s">
        <v>2364</v>
      </c>
      <c r="C905" s="5" t="s">
        <v>40</v>
      </c>
      <c r="D905" s="5" t="s">
        <v>41</v>
      </c>
      <c r="E905" s="5" t="s">
        <v>164</v>
      </c>
      <c r="F905" s="9">
        <v>84</v>
      </c>
      <c r="G905" s="9">
        <v>902</v>
      </c>
      <c r="H905" s="5" t="s">
        <v>21</v>
      </c>
      <c r="I905" s="5" t="s">
        <v>2365</v>
      </c>
      <c r="J905" s="12" t="str">
        <f>HYPERLINK("https://www.boe.es/gazeta/dias/1803/10/18/pdfs/GMD-1803-84.pdf#page=6","Abrir facsímil")</f>
        <v>Abrir facsímil</v>
      </c>
      <c r="K905" s="15" t="s">
        <v>23</v>
      </c>
    </row>
    <row r="906" spans="1:11" ht="42" customHeight="1">
      <c r="A906" s="4" t="s">
        <v>2366</v>
      </c>
      <c r="B906" s="5" t="s">
        <v>2366</v>
      </c>
      <c r="C906" s="5" t="s">
        <v>26</v>
      </c>
      <c r="D906" s="5" t="s">
        <v>27</v>
      </c>
      <c r="E906" s="5" t="s">
        <v>328</v>
      </c>
      <c r="F906" s="9">
        <v>54</v>
      </c>
      <c r="G906" s="9">
        <v>590</v>
      </c>
      <c r="H906" s="5" t="s">
        <v>21</v>
      </c>
      <c r="I906" s="5" t="s">
        <v>2367</v>
      </c>
      <c r="J906" s="12" t="str">
        <f>HYPERLINK("https://www.boe.es/gazeta/dias/1803/07/08/pdfs/GMD-1803-54.pdf#page=10","Abrir facsímil")</f>
        <v>Abrir facsímil</v>
      </c>
      <c r="K906" s="15" t="s">
        <v>23</v>
      </c>
    </row>
    <row r="907" spans="1:11" ht="42" customHeight="1">
      <c r="A907" s="4" t="s">
        <v>2368</v>
      </c>
      <c r="B907" s="5" t="s">
        <v>2369</v>
      </c>
      <c r="C907" s="5" t="s">
        <v>40</v>
      </c>
      <c r="D907" s="5" t="s">
        <v>41</v>
      </c>
      <c r="E907" s="5" t="s">
        <v>407</v>
      </c>
      <c r="F907" s="9">
        <v>82</v>
      </c>
      <c r="G907" s="9">
        <v>886</v>
      </c>
      <c r="H907" s="5" t="s">
        <v>21</v>
      </c>
      <c r="I907" s="5" t="s">
        <v>2370</v>
      </c>
      <c r="J907" s="12" t="str">
        <f>HYPERLINK("https://www.boe.es/gazeta/dias/1803/10/11/pdfs/GMD-1803-82.pdf#page=10","Abrir facsímil")</f>
        <v>Abrir facsímil</v>
      </c>
      <c r="K907" s="15" t="s">
        <v>23</v>
      </c>
    </row>
    <row r="908" spans="1:11" ht="42" customHeight="1">
      <c r="A908" s="4" t="s">
        <v>2371</v>
      </c>
      <c r="B908" s="5" t="s">
        <v>2371</v>
      </c>
      <c r="C908" s="5" t="s">
        <v>26</v>
      </c>
      <c r="D908" s="5" t="s">
        <v>27</v>
      </c>
      <c r="E908" s="5" t="s">
        <v>300</v>
      </c>
      <c r="F908" s="9">
        <v>96</v>
      </c>
      <c r="G908" s="9">
        <v>1034</v>
      </c>
      <c r="H908" s="5" t="s">
        <v>21</v>
      </c>
      <c r="I908" s="5" t="s">
        <v>2372</v>
      </c>
      <c r="J908" s="12" t="str">
        <f>HYPERLINK("https://www.boe.es/gazeta/dias/1803/11/29/pdfs/GMD-1803-96.pdf#page=10","Abrir facsímil")</f>
        <v>Abrir facsímil</v>
      </c>
      <c r="K908" s="15" t="s">
        <v>23</v>
      </c>
    </row>
    <row r="909" spans="1:11" ht="42" customHeight="1">
      <c r="A909" s="4" t="s">
        <v>2373</v>
      </c>
      <c r="B909" s="5" t="s">
        <v>2373</v>
      </c>
      <c r="C909" s="5" t="s">
        <v>51</v>
      </c>
      <c r="D909" s="5" t="s">
        <v>52</v>
      </c>
      <c r="E909" s="5" t="s">
        <v>910</v>
      </c>
      <c r="F909" s="9">
        <v>66</v>
      </c>
      <c r="G909" s="9">
        <v>720</v>
      </c>
      <c r="H909" s="5" t="s">
        <v>21</v>
      </c>
      <c r="I909" s="5" t="s">
        <v>2374</v>
      </c>
      <c r="J909" s="12" t="str">
        <f>HYPERLINK("https://www.boe.es/gazeta/dias/1803/08/19/pdfs/GMD-1803-66.pdf#page=8","Abrir facsímil")</f>
        <v>Abrir facsímil</v>
      </c>
      <c r="K909" s="15" t="s">
        <v>23</v>
      </c>
    </row>
    <row r="910" spans="1:11" ht="42" customHeight="1">
      <c r="A910" s="4" t="s">
        <v>2375</v>
      </c>
      <c r="B910" s="5" t="s">
        <v>2376</v>
      </c>
      <c r="C910" s="5" t="s">
        <v>18</v>
      </c>
      <c r="D910" s="5" t="s">
        <v>19</v>
      </c>
      <c r="E910" s="5" t="s">
        <v>395</v>
      </c>
      <c r="F910" s="9">
        <v>13</v>
      </c>
      <c r="G910" s="9">
        <v>133</v>
      </c>
      <c r="H910" s="5" t="s">
        <v>21</v>
      </c>
      <c r="I910" s="5" t="s">
        <v>2377</v>
      </c>
      <c r="J910" s="12" t="str">
        <f>HYPERLINK("https://www.boe.es/gazeta/dias/1803/02/15/pdfs/GMD-1803-13.pdf#page=9","Abrir facsímil")</f>
        <v>Abrir facsímil</v>
      </c>
      <c r="K910" s="15" t="s">
        <v>23</v>
      </c>
    </row>
    <row r="911" spans="1:11" ht="42" customHeight="1">
      <c r="A911" s="4" t="s">
        <v>2378</v>
      </c>
      <c r="B911" s="5" t="s">
        <v>2379</v>
      </c>
      <c r="C911" s="5" t="s">
        <v>51</v>
      </c>
      <c r="D911" s="5" t="s">
        <v>52</v>
      </c>
      <c r="E911" s="5" t="s">
        <v>148</v>
      </c>
      <c r="F911" s="9">
        <v>15</v>
      </c>
      <c r="G911" s="9">
        <v>157</v>
      </c>
      <c r="H911" s="5" t="s">
        <v>21</v>
      </c>
      <c r="I911" s="5" t="s">
        <v>2380</v>
      </c>
      <c r="J911" s="12" t="str">
        <f>HYPERLINK("https://www.boe.es/gazeta/dias/1803/02/22/pdfs/GMD-1803-15.pdf#page=9","Abrir facsímil")</f>
        <v>Abrir facsímil</v>
      </c>
      <c r="K911" s="15" t="s">
        <v>23</v>
      </c>
    </row>
    <row r="912" spans="1:11" ht="42" customHeight="1">
      <c r="A912" s="4" t="s">
        <v>2381</v>
      </c>
      <c r="B912" s="5" t="s">
        <v>2382</v>
      </c>
      <c r="C912" s="5" t="s">
        <v>46</v>
      </c>
      <c r="D912" s="5" t="s">
        <v>19</v>
      </c>
      <c r="E912" s="5" t="s">
        <v>361</v>
      </c>
      <c r="F912" s="9">
        <v>62</v>
      </c>
      <c r="G912" s="9">
        <v>678</v>
      </c>
      <c r="H912" s="5" t="s">
        <v>21</v>
      </c>
      <c r="I912" s="5" t="s">
        <v>2383</v>
      </c>
      <c r="J912" s="12" t="str">
        <f>HYPERLINK("https://www.boe.es/gazeta/dias/1803/08/05/pdfs/GMD-1803-62.pdf#page=10","Abrir facsímil")</f>
        <v>Abrir facsímil</v>
      </c>
      <c r="K912" s="15" t="s">
        <v>23</v>
      </c>
    </row>
    <row r="913" spans="1:11" ht="42" customHeight="1">
      <c r="A913" s="4" t="s">
        <v>2384</v>
      </c>
      <c r="B913" s="5" t="s">
        <v>2385</v>
      </c>
      <c r="C913" s="5" t="s">
        <v>26</v>
      </c>
      <c r="D913" s="5" t="s">
        <v>27</v>
      </c>
      <c r="E913" s="5" t="s">
        <v>93</v>
      </c>
      <c r="F913" s="9">
        <v>43</v>
      </c>
      <c r="G913" s="9">
        <v>445</v>
      </c>
      <c r="H913" s="5" t="s">
        <v>21</v>
      </c>
      <c r="I913" s="5" t="s">
        <v>2386</v>
      </c>
      <c r="J913" s="12" t="str">
        <f>HYPERLINK("https://www.boe.es/gazeta/dias/1803/05/31/pdfs/GMD-1803-43.pdf#page=5","Abrir facsímil")</f>
        <v>Abrir facsímil</v>
      </c>
      <c r="K913" s="15" t="s">
        <v>23</v>
      </c>
    </row>
    <row r="914" spans="1:11" ht="42" customHeight="1">
      <c r="A914" s="4" t="s">
        <v>2387</v>
      </c>
      <c r="B914" s="5" t="s">
        <v>2388</v>
      </c>
      <c r="C914" s="5" t="s">
        <v>51</v>
      </c>
      <c r="D914" s="5" t="s">
        <v>52</v>
      </c>
      <c r="E914" s="5" t="s">
        <v>340</v>
      </c>
      <c r="F914" s="9">
        <v>55</v>
      </c>
      <c r="G914" s="9">
        <v>598</v>
      </c>
      <c r="H914" s="5" t="s">
        <v>21</v>
      </c>
      <c r="I914" s="5" t="s">
        <v>2389</v>
      </c>
      <c r="J914" s="12" t="str">
        <f>HYPERLINK("https://www.boe.es/gazeta/dias/1803/07/12/pdfs/GMD-1803-55.pdf#page=6","Abrir facsímil")</f>
        <v>Abrir facsímil</v>
      </c>
      <c r="K914" s="15" t="s">
        <v>23</v>
      </c>
    </row>
    <row r="915" spans="1:11" ht="42" customHeight="1">
      <c r="A915" s="4" t="s">
        <v>2390</v>
      </c>
      <c r="B915" s="5" t="s">
        <v>2390</v>
      </c>
      <c r="C915" s="5" t="s">
        <v>40</v>
      </c>
      <c r="D915" s="5" t="s">
        <v>41</v>
      </c>
      <c r="E915" s="5" t="s">
        <v>1279</v>
      </c>
      <c r="F915" s="9">
        <v>3</v>
      </c>
      <c r="G915" s="9">
        <v>21</v>
      </c>
      <c r="H915" s="5" t="s">
        <v>21</v>
      </c>
      <c r="I915" s="5" t="s">
        <v>2391</v>
      </c>
      <c r="J915" s="12" t="str">
        <f>HYPERLINK("https://www.boe.es/gazeta/dias/1803/01/11/pdfs/GMD-1803-3.pdf#page=1","Abrir facsímil")</f>
        <v>Abrir facsímil</v>
      </c>
      <c r="K915" s="15" t="s">
        <v>23</v>
      </c>
    </row>
    <row r="916" spans="1:11" ht="42" customHeight="1">
      <c r="A916" s="4" t="s">
        <v>2392</v>
      </c>
      <c r="B916" s="5" t="s">
        <v>2393</v>
      </c>
      <c r="C916" s="5" t="s">
        <v>40</v>
      </c>
      <c r="D916" s="5" t="s">
        <v>41</v>
      </c>
      <c r="E916" s="5" t="s">
        <v>218</v>
      </c>
      <c r="F916" s="9">
        <v>19</v>
      </c>
      <c r="G916" s="9">
        <v>193</v>
      </c>
      <c r="H916" s="5" t="s">
        <v>21</v>
      </c>
      <c r="I916" s="5" t="s">
        <v>2394</v>
      </c>
      <c r="J916" s="12" t="str">
        <f>HYPERLINK("https://www.boe.es/gazeta/dias/1803/03/08/pdfs/GMD-1803-19.pdf#page=1","Abrir facsímil")</f>
        <v>Abrir facsímil</v>
      </c>
      <c r="K916" s="15" t="s">
        <v>23</v>
      </c>
    </row>
    <row r="917" spans="1:11" ht="42" customHeight="1">
      <c r="A917" s="4" t="s">
        <v>2395</v>
      </c>
      <c r="B917" s="5" t="s">
        <v>2395</v>
      </c>
      <c r="C917" s="5" t="s">
        <v>80</v>
      </c>
      <c r="D917" s="5" t="s">
        <v>81</v>
      </c>
      <c r="E917" s="5" t="s">
        <v>509</v>
      </c>
      <c r="F917" s="9">
        <v>6</v>
      </c>
      <c r="G917" s="9">
        <v>56</v>
      </c>
      <c r="H917" s="5" t="s">
        <v>21</v>
      </c>
      <c r="I917" s="5" t="s">
        <v>2396</v>
      </c>
      <c r="J917" s="12" t="str">
        <f>HYPERLINK("https://www.boe.es/gazeta/dias/1803/01/21/pdfs/GMD-1803-6.pdf#page=8","Abrir facsímil")</f>
        <v>Abrir facsímil</v>
      </c>
      <c r="K917" s="15" t="s">
        <v>23</v>
      </c>
    </row>
    <row r="918" spans="1:11" ht="42" customHeight="1">
      <c r="A918" s="4" t="s">
        <v>2397</v>
      </c>
      <c r="B918" s="5" t="s">
        <v>2397</v>
      </c>
      <c r="C918" s="5" t="s">
        <v>51</v>
      </c>
      <c r="D918" s="5" t="s">
        <v>52</v>
      </c>
      <c r="E918" s="5" t="s">
        <v>523</v>
      </c>
      <c r="F918" s="9">
        <v>101</v>
      </c>
      <c r="G918" s="9">
        <v>1088</v>
      </c>
      <c r="H918" s="5" t="s">
        <v>21</v>
      </c>
      <c r="I918" s="5" t="s">
        <v>2398</v>
      </c>
      <c r="J918" s="12" t="str">
        <f>HYPERLINK("https://www.boe.es/gazeta/dias/1803/12/16/pdfs/GMD-1803-101.pdf#page=12","Abrir facsímil")</f>
        <v>Abrir facsímil</v>
      </c>
      <c r="K918" s="15" t="s">
        <v>23</v>
      </c>
    </row>
    <row r="919" spans="1:11" ht="42" customHeight="1">
      <c r="A919" s="4" t="s">
        <v>2399</v>
      </c>
      <c r="B919" s="5" t="s">
        <v>2400</v>
      </c>
      <c r="C919" s="5" t="s">
        <v>51</v>
      </c>
      <c r="D919" s="5" t="s">
        <v>52</v>
      </c>
      <c r="E919" s="5" t="s">
        <v>1846</v>
      </c>
      <c r="F919" s="9">
        <v>89</v>
      </c>
      <c r="G919" s="9">
        <v>959</v>
      </c>
      <c r="H919" s="5" t="s">
        <v>21</v>
      </c>
      <c r="I919" s="5" t="s">
        <v>2401</v>
      </c>
      <c r="J919" s="12" t="str">
        <f>HYPERLINK("https://www.boe.es/gazeta/dias/1803/11/04/pdfs/GMD-1803-89.pdf#page=7","Abrir facsímil")</f>
        <v>Abrir facsímil</v>
      </c>
      <c r="K919" s="15" t="s">
        <v>23</v>
      </c>
    </row>
    <row r="920" spans="1:11" ht="42" customHeight="1">
      <c r="A920" s="4" t="s">
        <v>2402</v>
      </c>
      <c r="B920" s="5" t="s">
        <v>2403</v>
      </c>
      <c r="C920" s="5" t="s">
        <v>26</v>
      </c>
      <c r="D920" s="5" t="s">
        <v>27</v>
      </c>
      <c r="E920" s="5" t="s">
        <v>109</v>
      </c>
      <c r="F920" s="9">
        <v>102</v>
      </c>
      <c r="G920" s="9">
        <v>1098</v>
      </c>
      <c r="H920" s="5" t="s">
        <v>21</v>
      </c>
      <c r="I920" s="5" t="s">
        <v>2404</v>
      </c>
      <c r="J920" s="12" t="str">
        <f>HYPERLINK("https://www.boe.es/gazeta/dias/1803/12/20/pdfs/GMD-1803-102.pdf#page=10","Abrir facsímil")</f>
        <v>Abrir facsímil</v>
      </c>
      <c r="K920" s="15" t="s">
        <v>23</v>
      </c>
    </row>
    <row r="921" spans="1:11" ht="42" customHeight="1">
      <c r="A921" s="4" t="s">
        <v>2405</v>
      </c>
      <c r="B921" s="5" t="s">
        <v>2406</v>
      </c>
      <c r="C921" s="5" t="s">
        <v>18</v>
      </c>
      <c r="D921" s="5" t="s">
        <v>19</v>
      </c>
      <c r="E921" s="5" t="s">
        <v>395</v>
      </c>
      <c r="F921" s="9">
        <v>13</v>
      </c>
      <c r="G921" s="9">
        <v>135</v>
      </c>
      <c r="H921" s="5" t="s">
        <v>21</v>
      </c>
      <c r="I921" s="5" t="s">
        <v>2407</v>
      </c>
      <c r="J921" s="12" t="str">
        <f>HYPERLINK("https://www.boe.es/gazeta/dias/1803/02/15/pdfs/GMD-1803-13.pdf#page=11","Abrir facsímil")</f>
        <v>Abrir facsímil</v>
      </c>
      <c r="K921" s="15" t="s">
        <v>23</v>
      </c>
    </row>
    <row r="922" spans="1:11" ht="42" customHeight="1">
      <c r="A922" s="4" t="s">
        <v>2408</v>
      </c>
      <c r="B922" s="5" t="s">
        <v>2409</v>
      </c>
      <c r="C922" s="5" t="s">
        <v>46</v>
      </c>
      <c r="D922" s="5" t="s">
        <v>19</v>
      </c>
      <c r="E922" s="5" t="s">
        <v>657</v>
      </c>
      <c r="F922" s="9">
        <v>24</v>
      </c>
      <c r="G922" s="9">
        <v>254</v>
      </c>
      <c r="H922" s="5" t="s">
        <v>21</v>
      </c>
      <c r="I922" s="5" t="s">
        <v>2410</v>
      </c>
      <c r="J922" s="12" t="str">
        <f>HYPERLINK("https://www.boe.es/gazeta/dias/1803/03/25/pdfs/GMD-1803-24.pdf#page=6","Abrir facsímil")</f>
        <v>Abrir facsímil</v>
      </c>
      <c r="K922" s="15" t="s">
        <v>23</v>
      </c>
    </row>
    <row r="923" spans="1:11" ht="42" customHeight="1">
      <c r="A923" s="4" t="s">
        <v>2411</v>
      </c>
      <c r="B923" s="5" t="s">
        <v>2412</v>
      </c>
      <c r="C923" s="5" t="s">
        <v>26</v>
      </c>
      <c r="D923" s="5" t="s">
        <v>27</v>
      </c>
      <c r="E923" s="5" t="s">
        <v>657</v>
      </c>
      <c r="F923" s="9">
        <v>24</v>
      </c>
      <c r="G923" s="9">
        <v>254</v>
      </c>
      <c r="H923" s="5" t="s">
        <v>21</v>
      </c>
      <c r="I923" s="5" t="s">
        <v>2413</v>
      </c>
      <c r="J923" s="12" t="str">
        <f>HYPERLINK("https://www.boe.es/gazeta/dias/1803/03/25/pdfs/GMD-1803-24.pdf#page=6","Abrir facsímil")</f>
        <v>Abrir facsímil</v>
      </c>
      <c r="K923" s="15" t="s">
        <v>23</v>
      </c>
    </row>
    <row r="924" spans="1:11" ht="42" customHeight="1">
      <c r="A924" s="4" t="s">
        <v>2414</v>
      </c>
      <c r="B924" s="5" t="s">
        <v>2415</v>
      </c>
      <c r="C924" s="5" t="s">
        <v>40</v>
      </c>
      <c r="D924" s="5" t="s">
        <v>41</v>
      </c>
      <c r="E924" s="5" t="s">
        <v>657</v>
      </c>
      <c r="F924" s="9">
        <v>24</v>
      </c>
      <c r="G924" s="9">
        <v>254</v>
      </c>
      <c r="H924" s="5" t="s">
        <v>21</v>
      </c>
      <c r="I924" s="5" t="s">
        <v>2416</v>
      </c>
      <c r="J924" s="12" t="str">
        <f>HYPERLINK("https://www.boe.es/gazeta/dias/1803/03/25/pdfs/GMD-1803-24.pdf#page=6","Abrir facsímil")</f>
        <v>Abrir facsímil</v>
      </c>
      <c r="K924" s="15" t="s">
        <v>23</v>
      </c>
    </row>
    <row r="925" spans="1:11" ht="42" customHeight="1">
      <c r="A925" s="4" t="s">
        <v>2417</v>
      </c>
      <c r="B925" s="5" t="s">
        <v>2418</v>
      </c>
      <c r="C925" s="5" t="s">
        <v>51</v>
      </c>
      <c r="D925" s="5" t="s">
        <v>52</v>
      </c>
      <c r="E925" s="5" t="s">
        <v>480</v>
      </c>
      <c r="F925" s="9">
        <v>87</v>
      </c>
      <c r="G925" s="9">
        <v>940</v>
      </c>
      <c r="H925" s="5" t="s">
        <v>21</v>
      </c>
      <c r="I925" s="5" t="s">
        <v>2419</v>
      </c>
      <c r="J925" s="12" t="str">
        <f>HYPERLINK("https://www.boe.es/gazeta/dias/1803/10/28/pdfs/GMD-1803-87.pdf#page=8","Abrir facsímil")</f>
        <v>Abrir facsímil</v>
      </c>
      <c r="K925" s="15" t="s">
        <v>23</v>
      </c>
    </row>
    <row r="926" spans="1:11" ht="42" customHeight="1">
      <c r="A926" s="4" t="s">
        <v>2420</v>
      </c>
      <c r="B926" s="5" t="s">
        <v>2421</v>
      </c>
      <c r="C926" s="5" t="s">
        <v>26</v>
      </c>
      <c r="D926" s="5" t="s">
        <v>27</v>
      </c>
      <c r="E926" s="5" t="s">
        <v>321</v>
      </c>
      <c r="F926" s="9">
        <v>94</v>
      </c>
      <c r="G926" s="9">
        <v>1010</v>
      </c>
      <c r="H926" s="5" t="s">
        <v>21</v>
      </c>
      <c r="I926" s="5" t="s">
        <v>2422</v>
      </c>
      <c r="J926" s="12" t="str">
        <f>HYPERLINK("https://www.boe.es/gazeta/dias/1803/11/22/pdfs/GMD-1803-94.pdf#page=10","Abrir facsímil")</f>
        <v>Abrir facsímil</v>
      </c>
      <c r="K926" s="15" t="s">
        <v>23</v>
      </c>
    </row>
    <row r="927" spans="1:11" ht="42" customHeight="1">
      <c r="A927" s="4" t="s">
        <v>2423</v>
      </c>
      <c r="B927" s="5" t="s">
        <v>2424</v>
      </c>
      <c r="C927" s="5" t="s">
        <v>26</v>
      </c>
      <c r="D927" s="5" t="s">
        <v>27</v>
      </c>
      <c r="E927" s="5" t="s">
        <v>258</v>
      </c>
      <c r="F927" s="9">
        <v>7</v>
      </c>
      <c r="G927" s="9">
        <v>70</v>
      </c>
      <c r="H927" s="5" t="s">
        <v>21</v>
      </c>
      <c r="I927" s="5" t="s">
        <v>2425</v>
      </c>
      <c r="J927" s="12" t="str">
        <f>HYPERLINK("https://www.boe.es/gazeta/dias/1803/01/25/pdfs/GMD-1803-7.pdf#page=10","Abrir facsímil")</f>
        <v>Abrir facsímil</v>
      </c>
      <c r="K927" s="15" t="s">
        <v>23</v>
      </c>
    </row>
    <row r="928" spans="1:11" ht="42" customHeight="1">
      <c r="A928" s="4" t="s">
        <v>2426</v>
      </c>
      <c r="B928" s="5" t="s">
        <v>2427</v>
      </c>
      <c r="C928" s="5" t="s">
        <v>26</v>
      </c>
      <c r="D928" s="5" t="s">
        <v>27</v>
      </c>
      <c r="E928" s="5" t="s">
        <v>795</v>
      </c>
      <c r="F928" s="9">
        <v>98</v>
      </c>
      <c r="G928" s="9">
        <v>1050</v>
      </c>
      <c r="H928" s="5" t="s">
        <v>21</v>
      </c>
      <c r="I928" s="5" t="s">
        <v>2428</v>
      </c>
      <c r="J928" s="12" t="str">
        <f>HYPERLINK("https://www.boe.es/gazeta/dias/1803/12/06/pdfs/GMD-1803-98.pdf#page=6","Abrir facsímil")</f>
        <v>Abrir facsímil</v>
      </c>
      <c r="K928" s="15" t="s">
        <v>23</v>
      </c>
    </row>
    <row r="929" spans="1:11" ht="42" customHeight="1">
      <c r="A929" s="4" t="s">
        <v>2429</v>
      </c>
      <c r="B929" s="5" t="s">
        <v>2430</v>
      </c>
      <c r="C929" s="5" t="s">
        <v>80</v>
      </c>
      <c r="D929" s="5" t="s">
        <v>81</v>
      </c>
      <c r="E929" s="5" t="s">
        <v>191</v>
      </c>
      <c r="F929" s="9">
        <v>34</v>
      </c>
      <c r="G929" s="9" t="s">
        <v>876</v>
      </c>
      <c r="H929" s="5" t="s">
        <v>21</v>
      </c>
      <c r="I929" s="5" t="s">
        <v>2431</v>
      </c>
      <c r="J929" s="12" t="str">
        <f>HYPERLINK("https://www.boe.es/gazeta/dias/1803/04/29/pdfs/GMD-C-1803-34.pdf#page=1","Abrir facsímil")</f>
        <v>Abrir facsímil</v>
      </c>
      <c r="K929" s="15" t="s">
        <v>23</v>
      </c>
    </row>
    <row r="930" spans="1:11" ht="42" customHeight="1">
      <c r="A930" s="4" t="s">
        <v>2432</v>
      </c>
      <c r="B930" s="5" t="s">
        <v>2433</v>
      </c>
      <c r="C930" s="5" t="s">
        <v>26</v>
      </c>
      <c r="D930" s="5" t="s">
        <v>27</v>
      </c>
      <c r="E930" s="5" t="s">
        <v>191</v>
      </c>
      <c r="F930" s="9">
        <v>34</v>
      </c>
      <c r="G930" s="9" t="s">
        <v>2434</v>
      </c>
      <c r="H930" s="5" t="s">
        <v>21</v>
      </c>
      <c r="I930" s="5" t="s">
        <v>2435</v>
      </c>
      <c r="J930" s="12" t="str">
        <f>HYPERLINK("https://www.boe.es/gazeta/dias/1803/04/29/pdfs/GMD-C-1803-34.pdf#page=11","Abrir facsímil")</f>
        <v>Abrir facsímil</v>
      </c>
      <c r="K930" s="15" t="s">
        <v>23</v>
      </c>
    </row>
    <row r="931" spans="1:11" ht="42" customHeight="1">
      <c r="A931" s="4" t="s">
        <v>2432</v>
      </c>
      <c r="B931" s="5" t="s">
        <v>2433</v>
      </c>
      <c r="C931" s="5" t="s">
        <v>225</v>
      </c>
      <c r="D931" s="5" t="s">
        <v>226</v>
      </c>
      <c r="E931" s="5" t="s">
        <v>191</v>
      </c>
      <c r="F931" s="9">
        <v>34</v>
      </c>
      <c r="G931" s="9" t="s">
        <v>192</v>
      </c>
      <c r="H931" s="5" t="s">
        <v>21</v>
      </c>
      <c r="I931" s="5" t="s">
        <v>2436</v>
      </c>
      <c r="J931" s="12" t="str">
        <f>HYPERLINK("https://www.boe.es/gazeta/dias/1803/04/29/pdfs/GMD-C-1803-34.pdf#page=12","Abrir facsímil")</f>
        <v>Abrir facsímil</v>
      </c>
      <c r="K931" s="15" t="s">
        <v>23</v>
      </c>
    </row>
    <row r="932" spans="1:11" ht="42" customHeight="1">
      <c r="A932" s="4" t="s">
        <v>2437</v>
      </c>
      <c r="B932" s="5" t="s">
        <v>2438</v>
      </c>
      <c r="C932" s="5" t="s">
        <v>40</v>
      </c>
      <c r="D932" s="5" t="s">
        <v>41</v>
      </c>
      <c r="E932" s="5" t="s">
        <v>340</v>
      </c>
      <c r="F932" s="9">
        <v>55</v>
      </c>
      <c r="G932" s="9">
        <v>595</v>
      </c>
      <c r="H932" s="5" t="s">
        <v>21</v>
      </c>
      <c r="I932" s="5" t="s">
        <v>2439</v>
      </c>
      <c r="J932" s="12" t="str">
        <f>HYPERLINK("https://www.boe.es/gazeta/dias/1803/07/12/pdfs/GMD-1803-55.pdf#page=3","Abrir facsímil")</f>
        <v>Abrir facsímil</v>
      </c>
      <c r="K932" s="15" t="s">
        <v>23</v>
      </c>
    </row>
    <row r="933" spans="1:11" ht="42" customHeight="1">
      <c r="A933" s="4" t="s">
        <v>2437</v>
      </c>
      <c r="B933" s="5" t="s">
        <v>2438</v>
      </c>
      <c r="C933" s="5" t="s">
        <v>40</v>
      </c>
      <c r="D933" s="5" t="s">
        <v>41</v>
      </c>
      <c r="E933" s="5" t="s">
        <v>32</v>
      </c>
      <c r="F933" s="9">
        <v>74</v>
      </c>
      <c r="G933" s="9">
        <v>798</v>
      </c>
      <c r="H933" s="5" t="s">
        <v>21</v>
      </c>
      <c r="I933" s="5" t="s">
        <v>2440</v>
      </c>
      <c r="J933" s="12" t="str">
        <f>HYPERLINK("https://www.boe.es/gazeta/dias/1803/09/13/pdfs/GMD-1803-74.pdf#page=2","Abrir facsímil")</f>
        <v>Abrir facsímil</v>
      </c>
      <c r="K933" s="15" t="s">
        <v>23</v>
      </c>
    </row>
    <row r="934" spans="1:11" ht="42" customHeight="1">
      <c r="A934" s="4" t="s">
        <v>2441</v>
      </c>
      <c r="B934" s="5" t="s">
        <v>2442</v>
      </c>
      <c r="C934" s="5" t="s">
        <v>51</v>
      </c>
      <c r="D934" s="5" t="s">
        <v>52</v>
      </c>
      <c r="E934" s="5" t="s">
        <v>93</v>
      </c>
      <c r="F934" s="9">
        <v>43</v>
      </c>
      <c r="G934" s="9">
        <v>451</v>
      </c>
      <c r="H934" s="5" t="s">
        <v>21</v>
      </c>
      <c r="I934" s="5" t="s">
        <v>2443</v>
      </c>
      <c r="J934" s="12" t="str">
        <f>HYPERLINK("https://www.boe.es/gazeta/dias/1803/05/31/pdfs/GMD-1803-43.pdf#page=11","Abrir facsímil")</f>
        <v>Abrir facsímil</v>
      </c>
      <c r="K934" s="15" t="s">
        <v>23</v>
      </c>
    </row>
    <row r="935" spans="1:11" ht="42" customHeight="1">
      <c r="A935" s="4" t="s">
        <v>2444</v>
      </c>
      <c r="B935" s="5" t="s">
        <v>2445</v>
      </c>
      <c r="C935" s="5" t="s">
        <v>26</v>
      </c>
      <c r="D935" s="5" t="s">
        <v>27</v>
      </c>
      <c r="E935" s="5" t="s">
        <v>313</v>
      </c>
      <c r="F935" s="9">
        <v>14</v>
      </c>
      <c r="G935" s="9">
        <v>143</v>
      </c>
      <c r="H935" s="5" t="s">
        <v>21</v>
      </c>
      <c r="I935" s="5" t="s">
        <v>2446</v>
      </c>
      <c r="J935" s="12" t="str">
        <f>HYPERLINK("https://www.boe.es/gazeta/dias/1803/02/18/pdfs/GMD-1803-14.pdf#page=7","Abrir facsímil")</f>
        <v>Abrir facsímil</v>
      </c>
      <c r="K935" s="15" t="s">
        <v>23</v>
      </c>
    </row>
    <row r="936" spans="1:11" ht="42" customHeight="1">
      <c r="A936" s="4" t="s">
        <v>2447</v>
      </c>
      <c r="B936" s="5" t="s">
        <v>2448</v>
      </c>
      <c r="C936" s="5" t="s">
        <v>26</v>
      </c>
      <c r="D936" s="5" t="s">
        <v>27</v>
      </c>
      <c r="E936" s="5" t="s">
        <v>967</v>
      </c>
      <c r="F936" s="9">
        <v>35</v>
      </c>
      <c r="G936" s="9">
        <v>367</v>
      </c>
      <c r="H936" s="5" t="s">
        <v>21</v>
      </c>
      <c r="I936" s="5" t="s">
        <v>2449</v>
      </c>
      <c r="J936" s="12" t="str">
        <f>HYPERLINK("https://www.boe.es/gazeta/dias/1803/05/03/pdfs/GMD-1803-35.pdf#page=7","Abrir facsímil")</f>
        <v>Abrir facsímil</v>
      </c>
      <c r="K936" s="15" t="s">
        <v>23</v>
      </c>
    </row>
    <row r="937" spans="1:11" ht="42" customHeight="1">
      <c r="A937" s="4" t="s">
        <v>2447</v>
      </c>
      <c r="B937" s="5" t="s">
        <v>2448</v>
      </c>
      <c r="C937" s="5" t="s">
        <v>26</v>
      </c>
      <c r="D937" s="5" t="s">
        <v>27</v>
      </c>
      <c r="E937" s="5" t="s">
        <v>403</v>
      </c>
      <c r="F937" s="9">
        <v>91</v>
      </c>
      <c r="G937" s="9">
        <v>977</v>
      </c>
      <c r="H937" s="5" t="s">
        <v>21</v>
      </c>
      <c r="I937" s="5" t="s">
        <v>2450</v>
      </c>
      <c r="J937" s="12" t="str">
        <f>HYPERLINK("https://www.boe.es/gazeta/dias/1803/11/11/pdfs/GMD-1803-91.pdf#page=9","Abrir facsímil")</f>
        <v>Abrir facsímil</v>
      </c>
      <c r="K937" s="15" t="s">
        <v>23</v>
      </c>
    </row>
    <row r="938" spans="1:11" ht="42" customHeight="1">
      <c r="A938" s="4" t="s">
        <v>2451</v>
      </c>
      <c r="B938" s="5" t="s">
        <v>2452</v>
      </c>
      <c r="C938" s="5" t="s">
        <v>51</v>
      </c>
      <c r="D938" s="5" t="s">
        <v>52</v>
      </c>
      <c r="E938" s="5" t="s">
        <v>32</v>
      </c>
      <c r="F938" s="9">
        <v>74</v>
      </c>
      <c r="G938" s="9">
        <v>804</v>
      </c>
      <c r="H938" s="5" t="s">
        <v>21</v>
      </c>
      <c r="I938" s="5" t="s">
        <v>2453</v>
      </c>
      <c r="J938" s="12" t="str">
        <f>HYPERLINK("https://www.boe.es/gazeta/dias/1803/09/13/pdfs/GMD-1803-74.pdf#page=8","Abrir facsímil")</f>
        <v>Abrir facsímil</v>
      </c>
      <c r="K938" s="15" t="s">
        <v>23</v>
      </c>
    </row>
    <row r="939" spans="1:11" ht="42" customHeight="1">
      <c r="A939" s="4" t="s">
        <v>2454</v>
      </c>
      <c r="B939" s="5" t="s">
        <v>2455</v>
      </c>
      <c r="C939" s="5" t="s">
        <v>51</v>
      </c>
      <c r="D939" s="5" t="s">
        <v>52</v>
      </c>
      <c r="E939" s="5" t="s">
        <v>28</v>
      </c>
      <c r="F939" s="9">
        <v>92</v>
      </c>
      <c r="G939" s="9">
        <v>987</v>
      </c>
      <c r="H939" s="5" t="s">
        <v>21</v>
      </c>
      <c r="I939" s="5" t="s">
        <v>2456</v>
      </c>
      <c r="J939" s="12" t="str">
        <f>HYPERLINK("https://www.boe.es/gazeta/dias/1803/11/15/pdfs/GMD-1803-92.pdf#page=7","Abrir facsímil")</f>
        <v>Abrir facsímil</v>
      </c>
      <c r="K939" s="15" t="s">
        <v>23</v>
      </c>
    </row>
    <row r="940" spans="1:11" ht="42" customHeight="1">
      <c r="A940" s="4" t="s">
        <v>2457</v>
      </c>
      <c r="B940" s="5" t="s">
        <v>2458</v>
      </c>
      <c r="C940" s="5" t="s">
        <v>18</v>
      </c>
      <c r="D940" s="5" t="s">
        <v>19</v>
      </c>
      <c r="E940" s="5" t="s">
        <v>373</v>
      </c>
      <c r="F940" s="9">
        <v>77</v>
      </c>
      <c r="G940" s="9">
        <v>833</v>
      </c>
      <c r="H940" s="5" t="s">
        <v>21</v>
      </c>
      <c r="I940" s="5" t="s">
        <v>2459</v>
      </c>
      <c r="J940" s="12" t="str">
        <f>HYPERLINK("https://www.boe.es/gazeta/dias/1803/09/23/pdfs/GMD-1803-77.pdf#page=9","Abrir facsímil")</f>
        <v>Abrir facsímil</v>
      </c>
      <c r="K940" s="15" t="s">
        <v>23</v>
      </c>
    </row>
    <row r="941" spans="1:11" ht="42" customHeight="1">
      <c r="A941" s="4" t="s">
        <v>2460</v>
      </c>
      <c r="B941" s="5" t="s">
        <v>2461</v>
      </c>
      <c r="C941" s="5" t="s">
        <v>46</v>
      </c>
      <c r="D941" s="5" t="s">
        <v>19</v>
      </c>
      <c r="E941" s="5" t="s">
        <v>361</v>
      </c>
      <c r="F941" s="9">
        <v>62</v>
      </c>
      <c r="G941" s="9">
        <v>678</v>
      </c>
      <c r="H941" s="5" t="s">
        <v>21</v>
      </c>
      <c r="I941" s="5" t="s">
        <v>2462</v>
      </c>
      <c r="J941" s="12" t="str">
        <f>HYPERLINK("https://www.boe.es/gazeta/dias/1803/08/05/pdfs/GMD-1803-62.pdf#page=10","Abrir facsímil")</f>
        <v>Abrir facsímil</v>
      </c>
      <c r="K941" s="15" t="s">
        <v>23</v>
      </c>
    </row>
    <row r="942" spans="1:11" ht="42" customHeight="1">
      <c r="A942" s="4" t="s">
        <v>2463</v>
      </c>
      <c r="B942" s="5" t="s">
        <v>2464</v>
      </c>
      <c r="C942" s="5" t="s">
        <v>80</v>
      </c>
      <c r="D942" s="5" t="s">
        <v>81</v>
      </c>
      <c r="E942" s="5" t="s">
        <v>361</v>
      </c>
      <c r="F942" s="9">
        <v>62</v>
      </c>
      <c r="G942" s="9">
        <v>678</v>
      </c>
      <c r="H942" s="5" t="s">
        <v>21</v>
      </c>
      <c r="I942" s="5" t="s">
        <v>2465</v>
      </c>
      <c r="J942" s="12" t="str">
        <f>HYPERLINK("https://www.boe.es/gazeta/dias/1803/08/05/pdfs/GMD-1803-62.pdf#page=10","Abrir facsímil")</f>
        <v>Abrir facsímil</v>
      </c>
      <c r="K942" s="15" t="s">
        <v>23</v>
      </c>
    </row>
    <row r="943" spans="1:11" ht="42" customHeight="1">
      <c r="A943" s="4" t="s">
        <v>2466</v>
      </c>
      <c r="B943" s="5" t="s">
        <v>2467</v>
      </c>
      <c r="C943" s="5" t="s">
        <v>51</v>
      </c>
      <c r="D943" s="5" t="s">
        <v>52</v>
      </c>
      <c r="E943" s="5" t="s">
        <v>109</v>
      </c>
      <c r="F943" s="9">
        <v>102</v>
      </c>
      <c r="G943" s="9">
        <v>1098</v>
      </c>
      <c r="H943" s="5" t="s">
        <v>21</v>
      </c>
      <c r="I943" s="5" t="s">
        <v>2468</v>
      </c>
      <c r="J943" s="12" t="str">
        <f>HYPERLINK("https://www.boe.es/gazeta/dias/1803/12/20/pdfs/GMD-1803-102.pdf#page=10","Abrir facsímil")</f>
        <v>Abrir facsímil</v>
      </c>
      <c r="K943" s="15" t="s">
        <v>23</v>
      </c>
    </row>
    <row r="944" spans="1:11" ht="42" customHeight="1">
      <c r="A944" s="4" t="s">
        <v>2469</v>
      </c>
      <c r="B944" s="5" t="s">
        <v>2470</v>
      </c>
      <c r="C944" s="5" t="s">
        <v>51</v>
      </c>
      <c r="D944" s="5" t="s">
        <v>52</v>
      </c>
      <c r="E944" s="5" t="s">
        <v>203</v>
      </c>
      <c r="F944" s="9">
        <v>32</v>
      </c>
      <c r="G944" s="9">
        <v>339</v>
      </c>
      <c r="H944" s="5" t="s">
        <v>21</v>
      </c>
      <c r="I944" s="5" t="s">
        <v>2471</v>
      </c>
      <c r="J944" s="12" t="str">
        <f>HYPERLINK("https://www.boe.es/gazeta/dias/1803/04/22/pdfs/GMD-1803-32.pdf#page=11","Abrir facsímil")</f>
        <v>Abrir facsímil</v>
      </c>
      <c r="K944" s="15" t="s">
        <v>23</v>
      </c>
    </row>
    <row r="945" spans="1:11" ht="42" customHeight="1">
      <c r="A945" s="4" t="s">
        <v>2472</v>
      </c>
      <c r="B945" s="5" t="s">
        <v>2473</v>
      </c>
      <c r="C945" s="5" t="s">
        <v>80</v>
      </c>
      <c r="D945" s="5" t="s">
        <v>81</v>
      </c>
      <c r="E945" s="5" t="s">
        <v>403</v>
      </c>
      <c r="F945" s="9">
        <v>91</v>
      </c>
      <c r="G945" s="9">
        <v>979</v>
      </c>
      <c r="H945" s="5" t="s">
        <v>21</v>
      </c>
      <c r="I945" s="5" t="s">
        <v>2474</v>
      </c>
      <c r="J945" s="12" t="str">
        <f>HYPERLINK("https://www.boe.es/gazeta/dias/1803/11/11/pdfs/GMD-1803-91.pdf#page=11","Abrir facsímil")</f>
        <v>Abrir facsímil</v>
      </c>
      <c r="K945" s="15" t="s">
        <v>23</v>
      </c>
    </row>
    <row r="946" spans="1:11" ht="42" customHeight="1">
      <c r="A946" s="4" t="s">
        <v>2475</v>
      </c>
      <c r="B946" s="5" t="s">
        <v>2476</v>
      </c>
      <c r="C946" s="5" t="s">
        <v>26</v>
      </c>
      <c r="D946" s="5" t="s">
        <v>27</v>
      </c>
      <c r="E946" s="5" t="s">
        <v>132</v>
      </c>
      <c r="F946" s="9">
        <v>58</v>
      </c>
      <c r="G946" s="9">
        <v>639</v>
      </c>
      <c r="H946" s="5" t="s">
        <v>21</v>
      </c>
      <c r="I946" s="5" t="s">
        <v>2477</v>
      </c>
      <c r="J946" s="12" t="str">
        <f>HYPERLINK("https://www.boe.es/gazeta/dias/1803/07/22/pdfs/GMD-1803-58.pdf#page=11","Abrir facsímil")</f>
        <v>Abrir facsímil</v>
      </c>
      <c r="K946" s="15" t="s">
        <v>23</v>
      </c>
    </row>
    <row r="947" spans="1:11" ht="42" customHeight="1">
      <c r="A947" s="4" t="s">
        <v>2478</v>
      </c>
      <c r="B947" s="5" t="s">
        <v>2479</v>
      </c>
      <c r="C947" s="5" t="s">
        <v>26</v>
      </c>
      <c r="D947" s="5" t="s">
        <v>27</v>
      </c>
      <c r="E947" s="5" t="s">
        <v>657</v>
      </c>
      <c r="F947" s="9">
        <v>24</v>
      </c>
      <c r="G947" s="9">
        <v>256</v>
      </c>
      <c r="H947" s="5" t="s">
        <v>21</v>
      </c>
      <c r="I947" s="5" t="s">
        <v>2480</v>
      </c>
      <c r="J947" s="12" t="str">
        <f>HYPERLINK("https://www.boe.es/gazeta/dias/1803/03/25/pdfs/GMD-1803-24.pdf#page=8","Abrir facsímil")</f>
        <v>Abrir facsímil</v>
      </c>
      <c r="K947" s="15" t="s">
        <v>23</v>
      </c>
    </row>
    <row r="948" spans="1:11" ht="42" customHeight="1">
      <c r="A948" s="4" t="s">
        <v>2481</v>
      </c>
      <c r="B948" s="5" t="s">
        <v>2482</v>
      </c>
      <c r="C948" s="5" t="s">
        <v>46</v>
      </c>
      <c r="D948" s="5" t="s">
        <v>19</v>
      </c>
      <c r="E948" s="5" t="s">
        <v>300</v>
      </c>
      <c r="F948" s="9">
        <v>96</v>
      </c>
      <c r="G948" s="9">
        <v>1036</v>
      </c>
      <c r="H948" s="5" t="s">
        <v>21</v>
      </c>
      <c r="I948" s="5" t="s">
        <v>2483</v>
      </c>
      <c r="J948" s="12" t="str">
        <f>HYPERLINK("https://www.boe.es/gazeta/dias/1803/11/29/pdfs/GMD-1803-96.pdf#page=12","Abrir facsímil")</f>
        <v>Abrir facsímil</v>
      </c>
      <c r="K948" s="15" t="s">
        <v>23</v>
      </c>
    </row>
    <row r="949" spans="1:11" ht="42" customHeight="1">
      <c r="A949" s="4" t="s">
        <v>2484</v>
      </c>
      <c r="B949" s="5" t="s">
        <v>2485</v>
      </c>
      <c r="C949" s="5" t="s">
        <v>26</v>
      </c>
      <c r="D949" s="5" t="s">
        <v>27</v>
      </c>
      <c r="E949" s="5" t="s">
        <v>373</v>
      </c>
      <c r="F949" s="9">
        <v>77</v>
      </c>
      <c r="G949" s="9">
        <v>834</v>
      </c>
      <c r="H949" s="5" t="s">
        <v>21</v>
      </c>
      <c r="I949" s="5" t="s">
        <v>2486</v>
      </c>
      <c r="J949" s="12" t="str">
        <f>HYPERLINK("https://www.boe.es/gazeta/dias/1803/09/23/pdfs/GMD-1803-77.pdf#page=10","Abrir facsímil")</f>
        <v>Abrir facsímil</v>
      </c>
      <c r="K949" s="15" t="s">
        <v>23</v>
      </c>
    </row>
    <row r="950" spans="1:11" ht="42" customHeight="1">
      <c r="A950" s="4" t="s">
        <v>2487</v>
      </c>
      <c r="B950" s="5" t="s">
        <v>2488</v>
      </c>
      <c r="C950" s="5" t="s">
        <v>40</v>
      </c>
      <c r="D950" s="5" t="s">
        <v>41</v>
      </c>
      <c r="E950" s="5" t="s">
        <v>795</v>
      </c>
      <c r="F950" s="9">
        <v>98</v>
      </c>
      <c r="G950" s="9">
        <v>1050</v>
      </c>
      <c r="H950" s="5" t="s">
        <v>21</v>
      </c>
      <c r="I950" s="5" t="s">
        <v>2489</v>
      </c>
      <c r="J950" s="12" t="str">
        <f>HYPERLINK("https://www.boe.es/gazeta/dias/1803/12/06/pdfs/GMD-1803-98.pdf#page=6","Abrir facsímil")</f>
        <v>Abrir facsímil</v>
      </c>
      <c r="K950" s="15" t="s">
        <v>23</v>
      </c>
    </row>
    <row r="951" spans="1:11" ht="42" customHeight="1">
      <c r="A951" s="4" t="s">
        <v>2490</v>
      </c>
      <c r="B951" s="5" t="s">
        <v>2491</v>
      </c>
      <c r="C951" s="5" t="s">
        <v>80</v>
      </c>
      <c r="D951" s="5" t="s">
        <v>81</v>
      </c>
      <c r="E951" s="5" t="s">
        <v>657</v>
      </c>
      <c r="F951" s="9">
        <v>24</v>
      </c>
      <c r="G951" s="9">
        <v>256</v>
      </c>
      <c r="H951" s="5" t="s">
        <v>21</v>
      </c>
      <c r="I951" s="5" t="s">
        <v>2492</v>
      </c>
      <c r="J951" s="12" t="str">
        <f>HYPERLINK("https://www.boe.es/gazeta/dias/1803/03/25/pdfs/GMD-1803-24.pdf#page=8","Abrir facsímil")</f>
        <v>Abrir facsímil</v>
      </c>
      <c r="K951" s="15" t="s">
        <v>23</v>
      </c>
    </row>
    <row r="952" spans="1:11" ht="42" customHeight="1">
      <c r="A952" s="4" t="s">
        <v>2493</v>
      </c>
      <c r="B952" s="5" t="s">
        <v>2494</v>
      </c>
      <c r="C952" s="5" t="s">
        <v>51</v>
      </c>
      <c r="D952" s="5" t="s">
        <v>52</v>
      </c>
      <c r="E952" s="5" t="s">
        <v>53</v>
      </c>
      <c r="F952" s="9">
        <v>99</v>
      </c>
      <c r="G952" s="9">
        <v>1062</v>
      </c>
      <c r="H952" s="5" t="s">
        <v>21</v>
      </c>
      <c r="I952" s="5" t="s">
        <v>2495</v>
      </c>
      <c r="J952" s="12" t="str">
        <f>HYPERLINK("https://www.boe.es/gazeta/dias/1803/12/09/pdfs/GMD-1803-99.pdf#page=10","Abrir facsímil")</f>
        <v>Abrir facsímil</v>
      </c>
      <c r="K952" s="15" t="s">
        <v>23</v>
      </c>
    </row>
    <row r="953" spans="1:11" ht="42" customHeight="1">
      <c r="A953" s="4" t="s">
        <v>2496</v>
      </c>
      <c r="B953" s="5" t="s">
        <v>2497</v>
      </c>
      <c r="C953" s="5" t="s">
        <v>51</v>
      </c>
      <c r="D953" s="5" t="s">
        <v>52</v>
      </c>
      <c r="E953" s="5" t="s">
        <v>523</v>
      </c>
      <c r="F953" s="9">
        <v>101</v>
      </c>
      <c r="G953" s="9">
        <v>1087</v>
      </c>
      <c r="H953" s="5" t="s">
        <v>21</v>
      </c>
      <c r="I953" s="5" t="s">
        <v>2498</v>
      </c>
      <c r="J953" s="12" t="str">
        <f>HYPERLINK("https://www.boe.es/gazeta/dias/1803/12/16/pdfs/GMD-1803-101.pdf#page=11","Abrir facsímil")</f>
        <v>Abrir facsímil</v>
      </c>
      <c r="K953" s="15" t="s">
        <v>23</v>
      </c>
    </row>
    <row r="954" spans="1:11" ht="42" customHeight="1">
      <c r="A954" s="4" t="s">
        <v>2499</v>
      </c>
      <c r="B954" s="5" t="s">
        <v>2500</v>
      </c>
      <c r="C954" s="5" t="s">
        <v>18</v>
      </c>
      <c r="D954" s="5" t="s">
        <v>19</v>
      </c>
      <c r="E954" s="5" t="s">
        <v>211</v>
      </c>
      <c r="F954" s="9">
        <v>71</v>
      </c>
      <c r="G954" s="9">
        <v>779</v>
      </c>
      <c r="H954" s="5" t="s">
        <v>21</v>
      </c>
      <c r="I954" s="5" t="s">
        <v>2501</v>
      </c>
      <c r="J954" s="12" t="str">
        <f>HYPERLINK("https://www.boe.es/gazeta/dias/1803/09/06/pdfs/GMD-1803-71.pdf#page=11","Abrir facsímil")</f>
        <v>Abrir facsímil</v>
      </c>
      <c r="K954" s="15" t="s">
        <v>23</v>
      </c>
    </row>
    <row r="955" spans="1:11" ht="42" customHeight="1">
      <c r="A955" s="4" t="s">
        <v>2502</v>
      </c>
      <c r="B955" s="5" t="s">
        <v>2503</v>
      </c>
      <c r="C955" s="5" t="s">
        <v>51</v>
      </c>
      <c r="D955" s="5" t="s">
        <v>52</v>
      </c>
      <c r="E955" s="5" t="s">
        <v>501</v>
      </c>
      <c r="F955" s="9">
        <v>22</v>
      </c>
      <c r="G955" s="9">
        <v>238</v>
      </c>
      <c r="H955" s="5" t="s">
        <v>21</v>
      </c>
      <c r="I955" s="5" t="s">
        <v>2504</v>
      </c>
      <c r="J955" s="12" t="str">
        <f>HYPERLINK("https://www.boe.es/gazeta/dias/1803/03/18/pdfs/GMD-1803-22.pdf#page=10","Abrir facsímil")</f>
        <v>Abrir facsímil</v>
      </c>
      <c r="K955" s="15" t="s">
        <v>23</v>
      </c>
    </row>
    <row r="956" spans="1:11" ht="42" customHeight="1">
      <c r="A956" s="4" t="s">
        <v>2505</v>
      </c>
      <c r="B956" s="5" t="s">
        <v>2506</v>
      </c>
      <c r="C956" s="5" t="s">
        <v>46</v>
      </c>
      <c r="D956" s="5" t="s">
        <v>19</v>
      </c>
      <c r="E956" s="5" t="s">
        <v>606</v>
      </c>
      <c r="F956" s="9">
        <v>47</v>
      </c>
      <c r="G956" s="9">
        <v>499</v>
      </c>
      <c r="H956" s="5" t="s">
        <v>21</v>
      </c>
      <c r="I956" s="5" t="s">
        <v>2507</v>
      </c>
      <c r="J956" s="12" t="str">
        <f>HYPERLINK("https://www.boe.es/gazeta/dias/1803/06/14/pdfs/GMD-1803-47.pdf#page=11","Abrir facsímil")</f>
        <v>Abrir facsímil</v>
      </c>
      <c r="K956" s="15" t="s">
        <v>23</v>
      </c>
    </row>
    <row r="957" spans="1:11" ht="42" customHeight="1">
      <c r="A957" s="4" t="s">
        <v>2508</v>
      </c>
      <c r="B957" s="5" t="s">
        <v>2509</v>
      </c>
      <c r="C957" s="5" t="s">
        <v>46</v>
      </c>
      <c r="D957" s="5" t="s">
        <v>19</v>
      </c>
      <c r="E957" s="5" t="s">
        <v>152</v>
      </c>
      <c r="F957" s="9">
        <v>16</v>
      </c>
      <c r="G957" s="9">
        <v>168</v>
      </c>
      <c r="H957" s="5" t="s">
        <v>21</v>
      </c>
      <c r="I957" s="5" t="s">
        <v>2510</v>
      </c>
      <c r="J957" s="12" t="str">
        <f>HYPERLINK("https://www.boe.es/gazeta/dias/1803/02/25/pdfs/GMD-1803-16.pdf#page=8","Abrir facsímil")</f>
        <v>Abrir facsímil</v>
      </c>
      <c r="K957" s="15" t="s">
        <v>23</v>
      </c>
    </row>
    <row r="958" spans="1:11" ht="42" customHeight="1">
      <c r="A958" s="4" t="s">
        <v>2511</v>
      </c>
      <c r="B958" s="5" t="s">
        <v>2512</v>
      </c>
      <c r="C958" s="5" t="s">
        <v>51</v>
      </c>
      <c r="D958" s="5" t="s">
        <v>52</v>
      </c>
      <c r="E958" s="5" t="s">
        <v>109</v>
      </c>
      <c r="F958" s="9">
        <v>102</v>
      </c>
      <c r="G958" s="9">
        <v>1097</v>
      </c>
      <c r="H958" s="5" t="s">
        <v>21</v>
      </c>
      <c r="I958" s="5" t="s">
        <v>2513</v>
      </c>
      <c r="J958" s="12" t="str">
        <f>HYPERLINK("https://www.boe.es/gazeta/dias/1803/12/20/pdfs/GMD-1803-102.pdf#page=9","Abrir facsímil")</f>
        <v>Abrir facsímil</v>
      </c>
      <c r="K958" s="15" t="s">
        <v>23</v>
      </c>
    </row>
    <row r="959" spans="1:11" ht="42" customHeight="1">
      <c r="A959" s="4" t="s">
        <v>2514</v>
      </c>
      <c r="B959" s="5" t="s">
        <v>2515</v>
      </c>
      <c r="C959" s="5" t="s">
        <v>26</v>
      </c>
      <c r="D959" s="5" t="s">
        <v>27</v>
      </c>
      <c r="E959" s="5" t="s">
        <v>164</v>
      </c>
      <c r="F959" s="9">
        <v>84</v>
      </c>
      <c r="G959" s="9">
        <v>902</v>
      </c>
      <c r="H959" s="5" t="s">
        <v>21</v>
      </c>
      <c r="I959" s="5" t="s">
        <v>2516</v>
      </c>
      <c r="J959" s="12" t="str">
        <f>HYPERLINK("https://www.boe.es/gazeta/dias/1803/10/18/pdfs/GMD-1803-84.pdf#page=6","Abrir facsímil")</f>
        <v>Abrir facsímil</v>
      </c>
      <c r="K959" s="15" t="s">
        <v>23</v>
      </c>
    </row>
    <row r="960" spans="1:11" ht="42" customHeight="1">
      <c r="A960" s="4" t="s">
        <v>2517</v>
      </c>
      <c r="B960" s="5" t="s">
        <v>2518</v>
      </c>
      <c r="C960" s="5" t="s">
        <v>26</v>
      </c>
      <c r="D960" s="5" t="s">
        <v>27</v>
      </c>
      <c r="E960" s="5" t="s">
        <v>555</v>
      </c>
      <c r="F960" s="9">
        <v>83</v>
      </c>
      <c r="G960" s="9">
        <v>894</v>
      </c>
      <c r="H960" s="5" t="s">
        <v>21</v>
      </c>
      <c r="I960" s="5" t="s">
        <v>2519</v>
      </c>
      <c r="J960" s="12" t="str">
        <f>HYPERLINK("https://www.boe.es/gazeta/dias/1803/10/14/pdfs/GMD-1803-83.pdf#page=6","Abrir facsímil")</f>
        <v>Abrir facsímil</v>
      </c>
      <c r="K960" s="15" t="s">
        <v>23</v>
      </c>
    </row>
    <row r="961" spans="1:11" ht="42" customHeight="1">
      <c r="A961" s="4" t="s">
        <v>2520</v>
      </c>
      <c r="B961" s="5" t="s">
        <v>2521</v>
      </c>
      <c r="C961" s="5" t="s">
        <v>18</v>
      </c>
      <c r="D961" s="5" t="s">
        <v>19</v>
      </c>
      <c r="E961" s="5" t="s">
        <v>160</v>
      </c>
      <c r="F961" s="9">
        <v>81</v>
      </c>
      <c r="G961" s="9">
        <v>871</v>
      </c>
      <c r="H961" s="5" t="s">
        <v>21</v>
      </c>
      <c r="I961" s="5" t="s">
        <v>2522</v>
      </c>
      <c r="J961" s="12" t="str">
        <f>HYPERLINK("https://www.boe.es/gazeta/dias/1803/10/07/pdfs/GMD-1803-81.pdf#page=7","Abrir facsímil")</f>
        <v>Abrir facsímil</v>
      </c>
      <c r="K961" s="15" t="s">
        <v>23</v>
      </c>
    </row>
    <row r="962" spans="1:11" ht="42" customHeight="1">
      <c r="A962" s="4" t="s">
        <v>2523</v>
      </c>
      <c r="B962" s="5" t="s">
        <v>2524</v>
      </c>
      <c r="C962" s="5" t="s">
        <v>46</v>
      </c>
      <c r="D962" s="5" t="s">
        <v>19</v>
      </c>
      <c r="E962" s="5" t="s">
        <v>389</v>
      </c>
      <c r="F962" s="9">
        <v>41</v>
      </c>
      <c r="G962" s="9">
        <v>430</v>
      </c>
      <c r="H962" s="5" t="s">
        <v>21</v>
      </c>
      <c r="I962" s="5" t="s">
        <v>2525</v>
      </c>
      <c r="J962" s="12" t="str">
        <f>HYPERLINK("https://www.boe.es/gazeta/dias/1803/05/24/pdfs/GMD-1803-41.pdf#page=6","Abrir facsímil")</f>
        <v>Abrir facsímil</v>
      </c>
      <c r="K962" s="15" t="s">
        <v>23</v>
      </c>
    </row>
    <row r="963" spans="1:11" ht="42" customHeight="1">
      <c r="A963" s="4" t="s">
        <v>2526</v>
      </c>
      <c r="B963" s="5" t="s">
        <v>2527</v>
      </c>
      <c r="C963" s="5" t="s">
        <v>26</v>
      </c>
      <c r="D963" s="5" t="s">
        <v>27</v>
      </c>
      <c r="E963" s="5" t="s">
        <v>61</v>
      </c>
      <c r="F963" s="9">
        <v>67</v>
      </c>
      <c r="G963" s="9">
        <v>729</v>
      </c>
      <c r="H963" s="5" t="s">
        <v>21</v>
      </c>
      <c r="I963" s="5" t="s">
        <v>2528</v>
      </c>
      <c r="J963" s="12" t="str">
        <f>HYPERLINK("https://www.boe.es/gazeta/dias/1803/08/23/pdfs/GMD-1803-67.pdf#page=9","Abrir facsímil")</f>
        <v>Abrir facsímil</v>
      </c>
      <c r="K963" s="15" t="s">
        <v>23</v>
      </c>
    </row>
    <row r="964" spans="1:11" ht="42" customHeight="1">
      <c r="A964" s="4" t="s">
        <v>2529</v>
      </c>
      <c r="B964" s="5" t="s">
        <v>2530</v>
      </c>
      <c r="C964" s="5" t="s">
        <v>80</v>
      </c>
      <c r="D964" s="5" t="s">
        <v>81</v>
      </c>
      <c r="E964" s="5" t="s">
        <v>278</v>
      </c>
      <c r="F964" s="9">
        <v>46</v>
      </c>
      <c r="G964" s="9">
        <v>488</v>
      </c>
      <c r="H964" s="5" t="s">
        <v>21</v>
      </c>
      <c r="I964" s="5" t="s">
        <v>2531</v>
      </c>
      <c r="J964" s="12" t="str">
        <f>HYPERLINK("https://www.boe.es/gazeta/dias/1803/06/10/pdfs/GMD-1803-46.pdf#page=12","Abrir facsímil")</f>
        <v>Abrir facsímil</v>
      </c>
      <c r="K964" s="15" t="s">
        <v>23</v>
      </c>
    </row>
    <row r="965" spans="1:11" ht="42" customHeight="1">
      <c r="A965" s="4" t="s">
        <v>2532</v>
      </c>
      <c r="B965" s="5" t="s">
        <v>2533</v>
      </c>
      <c r="C965" s="5" t="s">
        <v>18</v>
      </c>
      <c r="D965" s="5" t="s">
        <v>19</v>
      </c>
      <c r="E965" s="5" t="s">
        <v>272</v>
      </c>
      <c r="F965" s="9">
        <v>25</v>
      </c>
      <c r="G965" s="9">
        <v>266</v>
      </c>
      <c r="H965" s="5" t="s">
        <v>21</v>
      </c>
      <c r="I965" s="5" t="s">
        <v>2534</v>
      </c>
      <c r="J965" s="12" t="str">
        <f>HYPERLINK("https://www.boe.es/gazeta/dias/1803/03/29/pdfs/GMD-1803-25.pdf#page=6","Abrir facsímil")</f>
        <v>Abrir facsímil</v>
      </c>
      <c r="K965" s="15" t="s">
        <v>23</v>
      </c>
    </row>
    <row r="966" spans="1:11" ht="42" customHeight="1">
      <c r="A966" s="4" t="s">
        <v>2535</v>
      </c>
      <c r="B966" s="5" t="s">
        <v>2536</v>
      </c>
      <c r="C966" s="5" t="s">
        <v>80</v>
      </c>
      <c r="D966" s="5" t="s">
        <v>81</v>
      </c>
      <c r="E966" s="5" t="s">
        <v>64</v>
      </c>
      <c r="F966" s="9">
        <v>65</v>
      </c>
      <c r="G966" s="9">
        <v>711</v>
      </c>
      <c r="H966" s="5" t="s">
        <v>21</v>
      </c>
      <c r="I966" s="5" t="s">
        <v>2537</v>
      </c>
      <c r="J966" s="12" t="str">
        <f>HYPERLINK("https://www.boe.es/gazeta/dias/1803/08/16/pdfs/GMD-1803-65.pdf#page=11","Abrir facsímil")</f>
        <v>Abrir facsímil</v>
      </c>
      <c r="K966" s="15" t="s">
        <v>23</v>
      </c>
    </row>
    <row r="967" spans="1:11" ht="42" customHeight="1">
      <c r="A967" s="4" t="s">
        <v>2538</v>
      </c>
      <c r="B967" s="5" t="s">
        <v>2539</v>
      </c>
      <c r="C967" s="5" t="s">
        <v>26</v>
      </c>
      <c r="D967" s="5" t="s">
        <v>27</v>
      </c>
      <c r="E967" s="5" t="s">
        <v>32</v>
      </c>
      <c r="F967" s="9">
        <v>74</v>
      </c>
      <c r="G967" s="9">
        <v>803</v>
      </c>
      <c r="H967" s="5" t="s">
        <v>21</v>
      </c>
      <c r="I967" s="5" t="s">
        <v>2540</v>
      </c>
      <c r="J967" s="12" t="str">
        <f>HYPERLINK("https://www.boe.es/gazeta/dias/1803/09/13/pdfs/GMD-1803-74.pdf#page=7","Abrir facsímil")</f>
        <v>Abrir facsímil</v>
      </c>
      <c r="K967" s="15" t="s">
        <v>23</v>
      </c>
    </row>
    <row r="968" spans="1:11" ht="42" customHeight="1">
      <c r="A968" s="4" t="s">
        <v>2541</v>
      </c>
      <c r="B968" s="5" t="s">
        <v>2542</v>
      </c>
      <c r="C968" s="5" t="s">
        <v>51</v>
      </c>
      <c r="D968" s="5" t="s">
        <v>52</v>
      </c>
      <c r="E968" s="5" t="s">
        <v>523</v>
      </c>
      <c r="F968" s="9">
        <v>101</v>
      </c>
      <c r="G968" s="9">
        <v>1078</v>
      </c>
      <c r="H968" s="5" t="s">
        <v>21</v>
      </c>
      <c r="I968" s="5" t="s">
        <v>2543</v>
      </c>
      <c r="J968" s="12" t="str">
        <f>HYPERLINK("https://www.boe.es/gazeta/dias/1803/12/16/pdfs/GMD-1803-101.pdf#page=2","Abrir facsímil")</f>
        <v>Abrir facsímil</v>
      </c>
      <c r="K968" s="15" t="s">
        <v>23</v>
      </c>
    </row>
    <row r="969" spans="1:11" ht="42" customHeight="1">
      <c r="A969" s="4" t="s">
        <v>2544</v>
      </c>
      <c r="B969" s="5" t="s">
        <v>2545</v>
      </c>
      <c r="C969" s="5" t="s">
        <v>26</v>
      </c>
      <c r="D969" s="5" t="s">
        <v>27</v>
      </c>
      <c r="E969" s="5" t="s">
        <v>93</v>
      </c>
      <c r="F969" s="9">
        <v>43</v>
      </c>
      <c r="G969" s="9">
        <v>450</v>
      </c>
      <c r="H969" s="5" t="s">
        <v>21</v>
      </c>
      <c r="I969" s="5" t="s">
        <v>2546</v>
      </c>
      <c r="J969" s="12" t="str">
        <f>HYPERLINK("https://www.boe.es/gazeta/dias/1803/05/31/pdfs/GMD-1803-43.pdf#page=10","Abrir facsímil")</f>
        <v>Abrir facsímil</v>
      </c>
      <c r="K969" s="15" t="s">
        <v>23</v>
      </c>
    </row>
    <row r="970" spans="1:11" ht="42" customHeight="1">
      <c r="A970" s="4" t="s">
        <v>2547</v>
      </c>
      <c r="B970" s="5" t="s">
        <v>2548</v>
      </c>
      <c r="C970" s="5" t="s">
        <v>26</v>
      </c>
      <c r="D970" s="5" t="s">
        <v>27</v>
      </c>
      <c r="E970" s="5" t="s">
        <v>752</v>
      </c>
      <c r="F970" s="9">
        <v>30</v>
      </c>
      <c r="G970" s="9">
        <v>320</v>
      </c>
      <c r="H970" s="5" t="s">
        <v>21</v>
      </c>
      <c r="I970" s="5" t="s">
        <v>2549</v>
      </c>
      <c r="J970" s="12" t="str">
        <f>HYPERLINK("https://www.boe.es/gazeta/dias/1803/04/15/pdfs/GMD-1803-30.pdf#page=8","Abrir facsímil")</f>
        <v>Abrir facsímil</v>
      </c>
      <c r="K970" s="15" t="s">
        <v>23</v>
      </c>
    </row>
    <row r="971" spans="1:11" ht="42" customHeight="1">
      <c r="A971" s="4" t="s">
        <v>2550</v>
      </c>
      <c r="B971" s="5" t="s">
        <v>2551</v>
      </c>
      <c r="C971" s="5" t="s">
        <v>18</v>
      </c>
      <c r="D971" s="5" t="s">
        <v>19</v>
      </c>
      <c r="E971" s="5" t="s">
        <v>109</v>
      </c>
      <c r="F971" s="9">
        <v>102</v>
      </c>
      <c r="G971" s="9">
        <v>1098</v>
      </c>
      <c r="H971" s="5" t="s">
        <v>21</v>
      </c>
      <c r="I971" s="5" t="s">
        <v>2552</v>
      </c>
      <c r="J971" s="12" t="str">
        <f>HYPERLINK("https://www.boe.es/gazeta/dias/1803/12/20/pdfs/GMD-1803-102.pdf#page=10","Abrir facsímil")</f>
        <v>Abrir facsímil</v>
      </c>
      <c r="K971" s="15" t="s">
        <v>23</v>
      </c>
    </row>
    <row r="972" spans="1:11" ht="42" customHeight="1">
      <c r="A972" s="4" t="s">
        <v>2553</v>
      </c>
      <c r="B972" s="5" t="s">
        <v>2554</v>
      </c>
      <c r="C972" s="5" t="s">
        <v>26</v>
      </c>
      <c r="D972" s="5" t="s">
        <v>27</v>
      </c>
      <c r="E972" s="5" t="s">
        <v>263</v>
      </c>
      <c r="F972" s="9">
        <v>75</v>
      </c>
      <c r="G972" s="9">
        <v>811</v>
      </c>
      <c r="H972" s="5" t="s">
        <v>21</v>
      </c>
      <c r="I972" s="5" t="s">
        <v>2555</v>
      </c>
      <c r="J972" s="12" t="str">
        <f>HYPERLINK("https://www.boe.es/gazeta/dias/1803/09/16/pdfs/GMD-1803-75.pdf#page=7","Abrir facsímil")</f>
        <v>Abrir facsímil</v>
      </c>
      <c r="K972" s="15" t="s">
        <v>23</v>
      </c>
    </row>
    <row r="973" spans="1:11" ht="42" customHeight="1">
      <c r="A973" s="4" t="s">
        <v>2556</v>
      </c>
      <c r="B973" s="5" t="s">
        <v>2557</v>
      </c>
      <c r="C973" s="5" t="s">
        <v>26</v>
      </c>
      <c r="D973" s="5" t="s">
        <v>27</v>
      </c>
      <c r="E973" s="5" t="s">
        <v>231</v>
      </c>
      <c r="F973" s="9">
        <v>26</v>
      </c>
      <c r="G973" s="9">
        <v>281</v>
      </c>
      <c r="H973" s="5" t="s">
        <v>21</v>
      </c>
      <c r="I973" s="5" t="s">
        <v>2558</v>
      </c>
      <c r="J973" s="12" t="str">
        <f>HYPERLINK("https://www.boe.es/gazeta/dias/1803/04/01/pdfs/GMD-1803-26.pdf#page=9","Abrir facsímil")</f>
        <v>Abrir facsímil</v>
      </c>
      <c r="K973" s="15" t="s">
        <v>23</v>
      </c>
    </row>
    <row r="974" spans="1:11" ht="42" customHeight="1">
      <c r="A974" s="4" t="s">
        <v>2559</v>
      </c>
      <c r="B974" s="5" t="s">
        <v>2560</v>
      </c>
      <c r="C974" s="5" t="s">
        <v>18</v>
      </c>
      <c r="D974" s="5" t="s">
        <v>19</v>
      </c>
      <c r="E974" s="5" t="s">
        <v>174</v>
      </c>
      <c r="F974" s="9">
        <v>21</v>
      </c>
      <c r="G974" s="9">
        <v>223</v>
      </c>
      <c r="H974" s="5" t="s">
        <v>21</v>
      </c>
      <c r="I974" s="5" t="s">
        <v>2561</v>
      </c>
      <c r="J974" s="12" t="str">
        <f>HYPERLINK("https://www.boe.es/gazeta/dias/1803/03/15/pdfs/GMD-1803-21.pdf#page=7","Abrir facsímil")</f>
        <v>Abrir facsímil</v>
      </c>
      <c r="K974" s="15" t="s">
        <v>23</v>
      </c>
    </row>
    <row r="975" spans="1:11" ht="42" customHeight="1">
      <c r="A975" s="4" t="s">
        <v>2562</v>
      </c>
      <c r="B975" s="5" t="s">
        <v>2563</v>
      </c>
      <c r="C975" s="5" t="s">
        <v>51</v>
      </c>
      <c r="D975" s="5" t="s">
        <v>52</v>
      </c>
      <c r="E975" s="5" t="s">
        <v>361</v>
      </c>
      <c r="F975" s="9">
        <v>62</v>
      </c>
      <c r="G975" s="9">
        <v>676</v>
      </c>
      <c r="H975" s="5" t="s">
        <v>21</v>
      </c>
      <c r="I975" s="5" t="s">
        <v>2564</v>
      </c>
      <c r="J975" s="12" t="str">
        <f>HYPERLINK("https://www.boe.es/gazeta/dias/1803/08/05/pdfs/GMD-1803-62.pdf#page=8","Abrir facsímil")</f>
        <v>Abrir facsímil</v>
      </c>
      <c r="K975" s="15" t="s">
        <v>23</v>
      </c>
    </row>
    <row r="976" spans="1:11" ht="42" customHeight="1">
      <c r="A976" s="4" t="s">
        <v>2565</v>
      </c>
      <c r="B976" s="5" t="s">
        <v>2566</v>
      </c>
      <c r="C976" s="5" t="s">
        <v>46</v>
      </c>
      <c r="D976" s="5" t="s">
        <v>19</v>
      </c>
      <c r="E976" s="5" t="s">
        <v>258</v>
      </c>
      <c r="F976" s="9">
        <v>7</v>
      </c>
      <c r="G976" s="9">
        <v>72</v>
      </c>
      <c r="H976" s="5" t="s">
        <v>21</v>
      </c>
      <c r="I976" s="5" t="s">
        <v>2567</v>
      </c>
      <c r="J976" s="12" t="str">
        <f>HYPERLINK("https://www.boe.es/gazeta/dias/1803/01/25/pdfs/GMD-1803-7.pdf#page=12","Abrir facsímil")</f>
        <v>Abrir facsímil</v>
      </c>
      <c r="K976" s="15" t="s">
        <v>23</v>
      </c>
    </row>
    <row r="977" spans="1:11" ht="42" customHeight="1">
      <c r="A977" s="4" t="s">
        <v>2568</v>
      </c>
      <c r="B977" s="5" t="s">
        <v>2569</v>
      </c>
      <c r="C977" s="5" t="s">
        <v>26</v>
      </c>
      <c r="D977" s="5" t="s">
        <v>27</v>
      </c>
      <c r="E977" s="5" t="s">
        <v>258</v>
      </c>
      <c r="F977" s="9">
        <v>7</v>
      </c>
      <c r="G977" s="9">
        <v>72</v>
      </c>
      <c r="H977" s="5" t="s">
        <v>21</v>
      </c>
      <c r="I977" s="5" t="s">
        <v>2570</v>
      </c>
      <c r="J977" s="12" t="str">
        <f>HYPERLINK("https://www.boe.es/gazeta/dias/1803/01/25/pdfs/GMD-1803-7.pdf#page=12","Abrir facsímil")</f>
        <v>Abrir facsímil</v>
      </c>
      <c r="K977" s="15" t="s">
        <v>23</v>
      </c>
    </row>
    <row r="978" spans="1:11" ht="42" customHeight="1">
      <c r="A978" s="4" t="s">
        <v>2568</v>
      </c>
      <c r="B978" s="5" t="s">
        <v>2569</v>
      </c>
      <c r="C978" s="5" t="s">
        <v>51</v>
      </c>
      <c r="D978" s="5" t="s">
        <v>52</v>
      </c>
      <c r="E978" s="5" t="s">
        <v>42</v>
      </c>
      <c r="F978" s="9">
        <v>10</v>
      </c>
      <c r="G978" s="9">
        <v>104</v>
      </c>
      <c r="H978" s="5" t="s">
        <v>21</v>
      </c>
      <c r="I978" s="5" t="s">
        <v>2571</v>
      </c>
      <c r="J978" s="12" t="str">
        <f>HYPERLINK("https://www.boe.es/gazeta/dias/1803/02/04/pdfs/GMD-1803-10.pdf#page=8","Abrir facsímil")</f>
        <v>Abrir facsímil</v>
      </c>
      <c r="K978" s="15" t="s">
        <v>23</v>
      </c>
    </row>
    <row r="979" spans="1:11" ht="42" customHeight="1">
      <c r="A979" s="4" t="s">
        <v>2572</v>
      </c>
      <c r="B979" s="5" t="s">
        <v>2573</v>
      </c>
      <c r="C979" s="5" t="s">
        <v>26</v>
      </c>
      <c r="D979" s="5" t="s">
        <v>27</v>
      </c>
      <c r="E979" s="5" t="s">
        <v>109</v>
      </c>
      <c r="F979" s="9">
        <v>102</v>
      </c>
      <c r="G979" s="9">
        <v>1097</v>
      </c>
      <c r="H979" s="5" t="s">
        <v>21</v>
      </c>
      <c r="I979" s="5" t="s">
        <v>2574</v>
      </c>
      <c r="J979" s="12" t="str">
        <f>HYPERLINK("https://www.boe.es/gazeta/dias/1803/12/20/pdfs/GMD-1803-102.pdf#page=9","Abrir facsímil")</f>
        <v>Abrir facsímil</v>
      </c>
      <c r="K979" s="15" t="s">
        <v>23</v>
      </c>
    </row>
    <row r="980" spans="1:11" ht="42" customHeight="1">
      <c r="A980" s="4" t="s">
        <v>2575</v>
      </c>
      <c r="B980" s="5" t="s">
        <v>2576</v>
      </c>
      <c r="C980" s="5" t="s">
        <v>26</v>
      </c>
      <c r="D980" s="5" t="s">
        <v>27</v>
      </c>
      <c r="E980" s="5" t="s">
        <v>88</v>
      </c>
      <c r="F980" s="9">
        <v>18</v>
      </c>
      <c r="G980" s="9">
        <v>188</v>
      </c>
      <c r="H980" s="5" t="s">
        <v>21</v>
      </c>
      <c r="I980" s="5" t="s">
        <v>2577</v>
      </c>
      <c r="J980" s="12" t="str">
        <f>HYPERLINK("https://www.boe.es/gazeta/dias/1803/03/04/pdfs/GMD-1803-18.pdf#page=8","Abrir facsímil")</f>
        <v>Abrir facsímil</v>
      </c>
      <c r="K980" s="15" t="s">
        <v>23</v>
      </c>
    </row>
    <row r="981" spans="1:11" ht="42" customHeight="1">
      <c r="A981" s="4" t="s">
        <v>2578</v>
      </c>
      <c r="B981" s="5" t="s">
        <v>2579</v>
      </c>
      <c r="C981" s="5" t="s">
        <v>18</v>
      </c>
      <c r="D981" s="5" t="s">
        <v>19</v>
      </c>
      <c r="E981" s="5" t="s">
        <v>317</v>
      </c>
      <c r="F981" s="9">
        <v>12</v>
      </c>
      <c r="G981" s="9">
        <v>123</v>
      </c>
      <c r="H981" s="5" t="s">
        <v>21</v>
      </c>
      <c r="I981" s="5" t="s">
        <v>2580</v>
      </c>
      <c r="J981" s="12" t="str">
        <f>HYPERLINK("https://www.boe.es/gazeta/dias/1803/02/11/pdfs/GMD-1803-12.pdf#page=11","Abrir facsímil")</f>
        <v>Abrir facsímil</v>
      </c>
      <c r="K981" s="15" t="s">
        <v>23</v>
      </c>
    </row>
    <row r="982" spans="1:11" ht="42" customHeight="1">
      <c r="A982" s="4" t="s">
        <v>2581</v>
      </c>
      <c r="B982" s="5" t="s">
        <v>2582</v>
      </c>
      <c r="C982" s="5" t="s">
        <v>26</v>
      </c>
      <c r="D982" s="5" t="s">
        <v>27</v>
      </c>
      <c r="E982" s="5" t="s">
        <v>289</v>
      </c>
      <c r="F982" s="9">
        <v>38</v>
      </c>
      <c r="G982" s="9">
        <v>401</v>
      </c>
      <c r="H982" s="5" t="s">
        <v>21</v>
      </c>
      <c r="I982" s="5" t="s">
        <v>2583</v>
      </c>
      <c r="J982" s="12" t="str">
        <f>HYPERLINK("https://www.boe.es/gazeta/dias/1803/05/13/pdfs/GMD-1803-38.pdf#page=9","Abrir facsímil")</f>
        <v>Abrir facsímil</v>
      </c>
      <c r="K982" s="15" t="s">
        <v>23</v>
      </c>
    </row>
    <row r="983" spans="1:11" ht="42" customHeight="1">
      <c r="A983" s="4" t="s">
        <v>2584</v>
      </c>
      <c r="B983" s="5" t="s">
        <v>2585</v>
      </c>
      <c r="C983" s="5" t="s">
        <v>46</v>
      </c>
      <c r="D983" s="5" t="s">
        <v>19</v>
      </c>
      <c r="E983" s="5" t="s">
        <v>795</v>
      </c>
      <c r="F983" s="9">
        <v>98</v>
      </c>
      <c r="G983" s="9">
        <v>1050</v>
      </c>
      <c r="H983" s="5" t="s">
        <v>21</v>
      </c>
      <c r="I983" s="5" t="s">
        <v>2586</v>
      </c>
      <c r="J983" s="12" t="str">
        <f>HYPERLINK("https://www.boe.es/gazeta/dias/1803/12/06/pdfs/GMD-1803-98.pdf#page=6","Abrir facsímil")</f>
        <v>Abrir facsímil</v>
      </c>
      <c r="K983" s="15" t="s">
        <v>23</v>
      </c>
    </row>
    <row r="984" spans="1:11" ht="42" customHeight="1">
      <c r="A984" s="4" t="s">
        <v>2587</v>
      </c>
      <c r="B984" s="5" t="s">
        <v>2588</v>
      </c>
      <c r="C984" s="5" t="s">
        <v>51</v>
      </c>
      <c r="D984" s="5" t="s">
        <v>52</v>
      </c>
      <c r="E984" s="5" t="s">
        <v>391</v>
      </c>
      <c r="F984" s="9">
        <v>61</v>
      </c>
      <c r="G984" s="9">
        <v>666</v>
      </c>
      <c r="H984" s="5" t="s">
        <v>21</v>
      </c>
      <c r="I984" s="5" t="s">
        <v>2589</v>
      </c>
      <c r="J984" s="12" t="str">
        <f>HYPERLINK("https://www.boe.es/gazeta/dias/1803/08/02/pdfs/GMD-1803-61.pdf#page=6","Abrir facsímil")</f>
        <v>Abrir facsímil</v>
      </c>
      <c r="K984" s="15" t="s">
        <v>23</v>
      </c>
    </row>
    <row r="985" spans="1:11" ht="42" customHeight="1">
      <c r="A985" s="4" t="s">
        <v>2590</v>
      </c>
      <c r="B985" s="5" t="s">
        <v>2591</v>
      </c>
      <c r="C985" s="5" t="s">
        <v>26</v>
      </c>
      <c r="D985" s="5" t="s">
        <v>27</v>
      </c>
      <c r="E985" s="5" t="s">
        <v>156</v>
      </c>
      <c r="F985" s="9">
        <v>2</v>
      </c>
      <c r="G985" s="9">
        <v>17</v>
      </c>
      <c r="H985" s="5" t="s">
        <v>21</v>
      </c>
      <c r="I985" s="5" t="s">
        <v>2592</v>
      </c>
      <c r="J985" s="12" t="str">
        <f>HYPERLINK("https://www.boe.es/gazeta/dias/1803/01/07/pdfs/GMD-1803-2.pdf#page=9","Abrir facsímil")</f>
        <v>Abrir facsímil</v>
      </c>
      <c r="K985" s="15" t="s">
        <v>23</v>
      </c>
    </row>
    <row r="986" spans="1:11" ht="42" customHeight="1">
      <c r="A986" s="4" t="s">
        <v>2593</v>
      </c>
      <c r="B986" s="5" t="s">
        <v>2594</v>
      </c>
      <c r="C986" s="5" t="s">
        <v>26</v>
      </c>
      <c r="D986" s="5" t="s">
        <v>27</v>
      </c>
      <c r="E986" s="5" t="s">
        <v>328</v>
      </c>
      <c r="F986" s="9">
        <v>54</v>
      </c>
      <c r="G986" s="9">
        <v>590</v>
      </c>
      <c r="H986" s="5" t="s">
        <v>21</v>
      </c>
      <c r="I986" s="5" t="s">
        <v>2595</v>
      </c>
      <c r="J986" s="12" t="str">
        <f>HYPERLINK("https://www.boe.es/gazeta/dias/1803/07/08/pdfs/GMD-1803-54.pdf#page=10","Abrir facsímil")</f>
        <v>Abrir facsímil</v>
      </c>
      <c r="K986" s="15" t="s">
        <v>23</v>
      </c>
    </row>
    <row r="987" spans="1:11" ht="42" customHeight="1">
      <c r="A987" s="4" t="s">
        <v>2596</v>
      </c>
      <c r="B987" s="5" t="s">
        <v>2597</v>
      </c>
      <c r="C987" s="5" t="s">
        <v>26</v>
      </c>
      <c r="D987" s="5" t="s">
        <v>27</v>
      </c>
      <c r="E987" s="5" t="s">
        <v>203</v>
      </c>
      <c r="F987" s="9">
        <v>32</v>
      </c>
      <c r="G987" s="9">
        <v>336</v>
      </c>
      <c r="H987" s="5" t="s">
        <v>21</v>
      </c>
      <c r="I987" s="5" t="s">
        <v>2598</v>
      </c>
      <c r="J987" s="12" t="str">
        <f>HYPERLINK("https://www.boe.es/gazeta/dias/1803/04/22/pdfs/GMD-1803-32.pdf#page=8","Abrir facsímil")</f>
        <v>Abrir facsímil</v>
      </c>
      <c r="K987" s="15" t="s">
        <v>23</v>
      </c>
    </row>
    <row r="988" spans="1:11" ht="42" customHeight="1">
      <c r="A988" s="4" t="s">
        <v>2599</v>
      </c>
      <c r="B988" s="5" t="s">
        <v>2600</v>
      </c>
      <c r="C988" s="5" t="s">
        <v>26</v>
      </c>
      <c r="D988" s="5" t="s">
        <v>27</v>
      </c>
      <c r="E988" s="5" t="s">
        <v>109</v>
      </c>
      <c r="F988" s="9">
        <v>102</v>
      </c>
      <c r="G988" s="9">
        <v>1097</v>
      </c>
      <c r="H988" s="5" t="s">
        <v>21</v>
      </c>
      <c r="I988" s="5" t="s">
        <v>2601</v>
      </c>
      <c r="J988" s="12" t="str">
        <f>HYPERLINK("https://www.boe.es/gazeta/dias/1803/12/20/pdfs/GMD-1803-102.pdf#page=9","Abrir facsímil")</f>
        <v>Abrir facsímil</v>
      </c>
      <c r="K988" s="15" t="s">
        <v>23</v>
      </c>
    </row>
    <row r="989" spans="1:11" ht="42" customHeight="1">
      <c r="A989" s="4" t="s">
        <v>2602</v>
      </c>
      <c r="B989" s="5" t="s">
        <v>2603</v>
      </c>
      <c r="C989" s="5" t="s">
        <v>26</v>
      </c>
      <c r="D989" s="5" t="s">
        <v>27</v>
      </c>
      <c r="E989" s="5" t="s">
        <v>726</v>
      </c>
      <c r="F989" s="9">
        <v>78</v>
      </c>
      <c r="G989" s="9">
        <v>846</v>
      </c>
      <c r="H989" s="5" t="s">
        <v>21</v>
      </c>
      <c r="I989" s="5" t="s">
        <v>2604</v>
      </c>
      <c r="J989" s="12" t="str">
        <f>HYPERLINK("https://www.boe.es/gazeta/dias/1803/09/27/pdfs/GMD-1803-78.pdf#page=10","Abrir facsímil")</f>
        <v>Abrir facsímil</v>
      </c>
      <c r="K989" s="15" t="s">
        <v>23</v>
      </c>
    </row>
    <row r="990" spans="1:11" ht="42" customHeight="1">
      <c r="A990" s="4" t="s">
        <v>2605</v>
      </c>
      <c r="B990" s="5" t="s">
        <v>2606</v>
      </c>
      <c r="C990" s="5" t="s">
        <v>40</v>
      </c>
      <c r="D990" s="5" t="s">
        <v>41</v>
      </c>
      <c r="E990" s="5" t="s">
        <v>124</v>
      </c>
      <c r="F990" s="9">
        <v>20</v>
      </c>
      <c r="G990" s="9">
        <v>205</v>
      </c>
      <c r="H990" s="5" t="s">
        <v>21</v>
      </c>
      <c r="I990" s="5" t="s">
        <v>2607</v>
      </c>
      <c r="J990" s="12" t="str">
        <f>HYPERLINK("https://www.boe.es/gazeta/dias/1803/03/11/pdfs/GMD-1803-20.pdf#page=1","Abrir facsímil")</f>
        <v>Abrir facsímil</v>
      </c>
      <c r="K990" s="15" t="s">
        <v>23</v>
      </c>
    </row>
    <row r="991" spans="1:11" ht="42" customHeight="1">
      <c r="A991" s="4" t="s">
        <v>2608</v>
      </c>
      <c r="B991" s="5" t="s">
        <v>2609</v>
      </c>
      <c r="C991" s="5" t="s">
        <v>26</v>
      </c>
      <c r="D991" s="5" t="s">
        <v>27</v>
      </c>
      <c r="E991" s="5" t="s">
        <v>83</v>
      </c>
      <c r="F991" s="9">
        <v>28</v>
      </c>
      <c r="G991" s="9">
        <v>302</v>
      </c>
      <c r="H991" s="5" t="s">
        <v>21</v>
      </c>
      <c r="I991" s="5" t="s">
        <v>2610</v>
      </c>
      <c r="J991" s="12" t="str">
        <f>HYPERLINK("https://www.boe.es/gazeta/dias/1803/04/08/pdfs/GMD-1803-28.pdf#page=6","Abrir facsímil")</f>
        <v>Abrir facsímil</v>
      </c>
      <c r="K991" s="15" t="s">
        <v>23</v>
      </c>
    </row>
    <row r="992" spans="1:11" ht="42" customHeight="1">
      <c r="A992" s="4" t="s">
        <v>2611</v>
      </c>
      <c r="B992" s="5" t="s">
        <v>2612</v>
      </c>
      <c r="C992" s="5" t="s">
        <v>26</v>
      </c>
      <c r="D992" s="5" t="s">
        <v>27</v>
      </c>
      <c r="E992" s="5" t="s">
        <v>231</v>
      </c>
      <c r="F992" s="9">
        <v>26</v>
      </c>
      <c r="G992" s="9">
        <v>281</v>
      </c>
      <c r="H992" s="5" t="s">
        <v>21</v>
      </c>
      <c r="I992" s="5" t="s">
        <v>2613</v>
      </c>
      <c r="J992" s="12" t="str">
        <f>HYPERLINK("https://www.boe.es/gazeta/dias/1803/04/01/pdfs/GMD-1803-26.pdf#page=9","Abrir facsímil")</f>
        <v>Abrir facsímil</v>
      </c>
      <c r="K992" s="15" t="s">
        <v>23</v>
      </c>
    </row>
    <row r="993" spans="1:11" ht="42" customHeight="1">
      <c r="A993" s="4" t="s">
        <v>2614</v>
      </c>
      <c r="B993" s="5" t="s">
        <v>2615</v>
      </c>
      <c r="C993" s="5" t="s">
        <v>26</v>
      </c>
      <c r="D993" s="5" t="s">
        <v>27</v>
      </c>
      <c r="E993" s="5" t="s">
        <v>83</v>
      </c>
      <c r="F993" s="9">
        <v>28</v>
      </c>
      <c r="G993" s="9">
        <v>302</v>
      </c>
      <c r="H993" s="5" t="s">
        <v>21</v>
      </c>
      <c r="I993" s="5" t="s">
        <v>2616</v>
      </c>
      <c r="J993" s="12" t="str">
        <f>HYPERLINK("https://www.boe.es/gazeta/dias/1803/04/08/pdfs/GMD-1803-28.pdf#page=6","Abrir facsímil")</f>
        <v>Abrir facsímil</v>
      </c>
      <c r="K993" s="15" t="s">
        <v>23</v>
      </c>
    </row>
    <row r="994" spans="1:11" ht="42" customHeight="1">
      <c r="A994" s="4" t="s">
        <v>2617</v>
      </c>
      <c r="B994" s="5" t="s">
        <v>2618</v>
      </c>
      <c r="C994" s="5" t="s">
        <v>46</v>
      </c>
      <c r="D994" s="5" t="s">
        <v>19</v>
      </c>
      <c r="E994" s="5" t="s">
        <v>36</v>
      </c>
      <c r="F994" s="9">
        <v>79</v>
      </c>
      <c r="G994" s="9">
        <v>856</v>
      </c>
      <c r="H994" s="5" t="s">
        <v>21</v>
      </c>
      <c r="I994" s="5" t="s">
        <v>2619</v>
      </c>
      <c r="J994" s="12" t="str">
        <f>HYPERLINK("https://www.boe.es/gazeta/dias/1803/09/30/pdfs/GMD-1803-79.pdf#page=8","Abrir facsímil")</f>
        <v>Abrir facsímil</v>
      </c>
      <c r="K994" s="15" t="s">
        <v>23</v>
      </c>
    </row>
    <row r="995" spans="1:11" ht="42" customHeight="1">
      <c r="A995" s="4" t="s">
        <v>2620</v>
      </c>
      <c r="B995" s="5" t="s">
        <v>2621</v>
      </c>
      <c r="C995" s="5" t="s">
        <v>80</v>
      </c>
      <c r="D995" s="5" t="s">
        <v>81</v>
      </c>
      <c r="E995" s="5" t="s">
        <v>395</v>
      </c>
      <c r="F995" s="9">
        <v>13</v>
      </c>
      <c r="G995" s="9">
        <v>136</v>
      </c>
      <c r="H995" s="5" t="s">
        <v>21</v>
      </c>
      <c r="I995" s="5" t="s">
        <v>2622</v>
      </c>
      <c r="J995" s="12" t="str">
        <f>HYPERLINK("https://www.boe.es/gazeta/dias/1803/02/15/pdfs/GMD-1803-13.pdf#page=12","Abrir facsímil")</f>
        <v>Abrir facsímil</v>
      </c>
      <c r="K995" s="15" t="s">
        <v>23</v>
      </c>
    </row>
    <row r="996" spans="1:11" ht="42" customHeight="1">
      <c r="A996" s="4" t="s">
        <v>2623</v>
      </c>
      <c r="B996" s="5" t="s">
        <v>2624</v>
      </c>
      <c r="C996" s="5" t="s">
        <v>18</v>
      </c>
      <c r="D996" s="5" t="s">
        <v>19</v>
      </c>
      <c r="E996" s="5" t="s">
        <v>278</v>
      </c>
      <c r="F996" s="9">
        <v>46</v>
      </c>
      <c r="G996" s="9">
        <v>485</v>
      </c>
      <c r="H996" s="5" t="s">
        <v>21</v>
      </c>
      <c r="I996" s="5" t="s">
        <v>2625</v>
      </c>
      <c r="J996" s="12" t="str">
        <f>HYPERLINK("https://www.boe.es/gazeta/dias/1803/06/10/pdfs/GMD-1803-46.pdf#page=9","Abrir facsímil")</f>
        <v>Abrir facsímil</v>
      </c>
      <c r="K996" s="15" t="s">
        <v>23</v>
      </c>
    </row>
    <row r="997" spans="1:11" ht="42" customHeight="1">
      <c r="A997" s="4" t="s">
        <v>2626</v>
      </c>
      <c r="B997" s="5" t="s">
        <v>2627</v>
      </c>
      <c r="C997" s="5" t="s">
        <v>26</v>
      </c>
      <c r="D997" s="5" t="s">
        <v>27</v>
      </c>
      <c r="E997" s="5" t="s">
        <v>71</v>
      </c>
      <c r="F997" s="9">
        <v>39</v>
      </c>
      <c r="G997" s="9">
        <v>412</v>
      </c>
      <c r="H997" s="5" t="s">
        <v>21</v>
      </c>
      <c r="I997" s="5" t="s">
        <v>2628</v>
      </c>
      <c r="J997" s="12" t="str">
        <f>HYPERLINK("https://www.boe.es/gazeta/dias/1803/05/17/pdfs/GMD-1803-39.pdf#page=8","Abrir facsímil")</f>
        <v>Abrir facsímil</v>
      </c>
      <c r="K997" s="15" t="s">
        <v>23</v>
      </c>
    </row>
    <row r="998" spans="1:11" ht="42" customHeight="1">
      <c r="A998" s="4" t="s">
        <v>2629</v>
      </c>
      <c r="B998" s="5" t="s">
        <v>2630</v>
      </c>
      <c r="C998" s="5" t="s">
        <v>80</v>
      </c>
      <c r="D998" s="5" t="s">
        <v>81</v>
      </c>
      <c r="E998" s="5" t="s">
        <v>726</v>
      </c>
      <c r="F998" s="9">
        <v>78</v>
      </c>
      <c r="G998" s="9">
        <v>848</v>
      </c>
      <c r="H998" s="5" t="s">
        <v>21</v>
      </c>
      <c r="I998" s="5" t="s">
        <v>2631</v>
      </c>
      <c r="J998" s="12" t="str">
        <f>HYPERLINK("https://www.boe.es/gazeta/dias/1803/09/27/pdfs/GMD-1803-78.pdf#page=12","Abrir facsímil")</f>
        <v>Abrir facsímil</v>
      </c>
      <c r="K998" s="15" t="s">
        <v>23</v>
      </c>
    </row>
    <row r="999" spans="1:11" ht="42" customHeight="1">
      <c r="A999" s="4" t="s">
        <v>2632</v>
      </c>
      <c r="B999" s="5" t="s">
        <v>2633</v>
      </c>
      <c r="C999" s="5" t="s">
        <v>26</v>
      </c>
      <c r="D999" s="5" t="s">
        <v>27</v>
      </c>
      <c r="E999" s="5" t="s">
        <v>71</v>
      </c>
      <c r="F999" s="9">
        <v>39</v>
      </c>
      <c r="G999" s="9">
        <v>412</v>
      </c>
      <c r="H999" s="5" t="s">
        <v>21</v>
      </c>
      <c r="I999" s="5" t="s">
        <v>2634</v>
      </c>
      <c r="J999" s="12" t="str">
        <f>HYPERLINK("https://www.boe.es/gazeta/dias/1803/05/17/pdfs/GMD-1803-39.pdf#page=8","Abrir facsímil")</f>
        <v>Abrir facsímil</v>
      </c>
      <c r="K999" s="15" t="s">
        <v>23</v>
      </c>
    </row>
    <row r="1000" spans="1:11" ht="42" customHeight="1">
      <c r="A1000" s="4" t="s">
        <v>2635</v>
      </c>
      <c r="B1000" s="5" t="s">
        <v>2636</v>
      </c>
      <c r="C1000" s="5" t="s">
        <v>26</v>
      </c>
      <c r="D1000" s="5" t="s">
        <v>27</v>
      </c>
      <c r="E1000" s="5" t="s">
        <v>189</v>
      </c>
      <c r="F1000" s="9">
        <v>9</v>
      </c>
      <c r="G1000" s="9">
        <v>92</v>
      </c>
      <c r="H1000" s="5" t="s">
        <v>21</v>
      </c>
      <c r="I1000" s="5" t="s">
        <v>2637</v>
      </c>
      <c r="J1000" s="12" t="str">
        <f>HYPERLINK("https://www.boe.es/gazeta/dias/1803/02/01/pdfs/GMD-1803-9.pdf#page=8","Abrir facsímil")</f>
        <v>Abrir facsímil</v>
      </c>
      <c r="K1000" s="15" t="s">
        <v>23</v>
      </c>
    </row>
    <row r="1001" spans="1:11" ht="42" customHeight="1">
      <c r="A1001" s="4" t="s">
        <v>2638</v>
      </c>
      <c r="B1001" s="5" t="s">
        <v>2639</v>
      </c>
      <c r="C1001" s="5" t="s">
        <v>51</v>
      </c>
      <c r="D1001" s="5" t="s">
        <v>52</v>
      </c>
      <c r="E1001" s="5" t="s">
        <v>189</v>
      </c>
      <c r="F1001" s="9">
        <v>9</v>
      </c>
      <c r="G1001" s="9">
        <v>91</v>
      </c>
      <c r="H1001" s="5" t="s">
        <v>21</v>
      </c>
      <c r="I1001" s="5" t="s">
        <v>2640</v>
      </c>
      <c r="J1001" s="12" t="str">
        <f>HYPERLINK("https://www.boe.es/gazeta/dias/1803/02/01/pdfs/GMD-1803-9.pdf#page=7","Abrir facsímil")</f>
        <v>Abrir facsímil</v>
      </c>
      <c r="K1001" s="15" t="s">
        <v>23</v>
      </c>
    </row>
    <row r="1002" spans="1:11" ht="42" customHeight="1">
      <c r="A1002" s="4" t="s">
        <v>2641</v>
      </c>
      <c r="B1002" s="5" t="s">
        <v>2642</v>
      </c>
      <c r="C1002" s="5" t="s">
        <v>18</v>
      </c>
      <c r="D1002" s="5" t="s">
        <v>19</v>
      </c>
      <c r="E1002" s="5" t="s">
        <v>207</v>
      </c>
      <c r="F1002" s="9">
        <v>27</v>
      </c>
      <c r="G1002" s="9">
        <v>292</v>
      </c>
      <c r="H1002" s="5" t="s">
        <v>21</v>
      </c>
      <c r="I1002" s="5" t="s">
        <v>2643</v>
      </c>
      <c r="J1002" s="12" t="str">
        <f>HYPERLINK("https://www.boe.es/gazeta/dias/1803/04/05/pdfs/GMD-1803-27.pdf#page=8","Abrir facsímil")</f>
        <v>Abrir facsímil</v>
      </c>
      <c r="K1002" s="15" t="s">
        <v>23</v>
      </c>
    </row>
    <row r="1003" spans="1:11" ht="42" customHeight="1">
      <c r="A1003" s="4" t="s">
        <v>2644</v>
      </c>
      <c r="B1003" s="5" t="s">
        <v>2645</v>
      </c>
      <c r="C1003" s="5" t="s">
        <v>18</v>
      </c>
      <c r="D1003" s="5" t="s">
        <v>19</v>
      </c>
      <c r="E1003" s="5" t="s">
        <v>967</v>
      </c>
      <c r="F1003" s="9">
        <v>35</v>
      </c>
      <c r="G1003" s="9">
        <v>367</v>
      </c>
      <c r="H1003" s="5" t="s">
        <v>21</v>
      </c>
      <c r="I1003" s="5" t="s">
        <v>2646</v>
      </c>
      <c r="J1003" s="12" t="str">
        <f>HYPERLINK("https://www.boe.es/gazeta/dias/1803/05/03/pdfs/GMD-1803-35.pdf#page=7","Abrir facsímil")</f>
        <v>Abrir facsímil</v>
      </c>
      <c r="K1003" s="15" t="s">
        <v>23</v>
      </c>
    </row>
    <row r="1004" spans="1:11" ht="42" customHeight="1">
      <c r="A1004" s="4" t="s">
        <v>2647</v>
      </c>
      <c r="B1004" s="5" t="s">
        <v>2648</v>
      </c>
      <c r="C1004" s="5" t="s">
        <v>26</v>
      </c>
      <c r="D1004" s="5" t="s">
        <v>27</v>
      </c>
      <c r="E1004" s="5" t="s">
        <v>148</v>
      </c>
      <c r="F1004" s="9">
        <v>15</v>
      </c>
      <c r="G1004" s="9">
        <v>156</v>
      </c>
      <c r="H1004" s="5" t="s">
        <v>21</v>
      </c>
      <c r="I1004" s="5" t="s">
        <v>2649</v>
      </c>
      <c r="J1004" s="12" t="str">
        <f>HYPERLINK("https://www.boe.es/gazeta/dias/1803/02/22/pdfs/GMD-1803-15.pdf#page=8","Abrir facsímil")</f>
        <v>Abrir facsímil</v>
      </c>
      <c r="K1004" s="15" t="s">
        <v>23</v>
      </c>
    </row>
    <row r="1005" spans="1:11" ht="42" customHeight="1">
      <c r="A1005" s="4" t="s">
        <v>2650</v>
      </c>
      <c r="B1005" s="5" t="s">
        <v>2651</v>
      </c>
      <c r="C1005" s="5" t="s">
        <v>26</v>
      </c>
      <c r="D1005" s="5" t="s">
        <v>27</v>
      </c>
      <c r="E1005" s="5" t="s">
        <v>218</v>
      </c>
      <c r="F1005" s="9">
        <v>19</v>
      </c>
      <c r="G1005" s="9">
        <v>202</v>
      </c>
      <c r="H1005" s="5" t="s">
        <v>21</v>
      </c>
      <c r="I1005" s="5" t="s">
        <v>2652</v>
      </c>
      <c r="J1005" s="12" t="str">
        <f>HYPERLINK("https://www.boe.es/gazeta/dias/1803/03/08/pdfs/GMD-1803-19.pdf#page=10","Abrir facsímil")</f>
        <v>Abrir facsímil</v>
      </c>
      <c r="K1005" s="15" t="s">
        <v>23</v>
      </c>
    </row>
    <row r="1006" spans="1:11" ht="42" customHeight="1">
      <c r="A1006" s="4" t="s">
        <v>2653</v>
      </c>
      <c r="B1006" s="5" t="s">
        <v>2654</v>
      </c>
      <c r="C1006" s="5" t="s">
        <v>26</v>
      </c>
      <c r="D1006" s="5" t="s">
        <v>27</v>
      </c>
      <c r="E1006" s="5" t="s">
        <v>910</v>
      </c>
      <c r="F1006" s="9">
        <v>66</v>
      </c>
      <c r="G1006" s="9">
        <v>718</v>
      </c>
      <c r="H1006" s="5" t="s">
        <v>21</v>
      </c>
      <c r="I1006" s="5" t="s">
        <v>2655</v>
      </c>
      <c r="J1006" s="12" t="str">
        <f>HYPERLINK("https://www.boe.es/gazeta/dias/1803/08/19/pdfs/GMD-1803-66.pdf#page=6","Abrir facsímil")</f>
        <v>Abrir facsímil</v>
      </c>
      <c r="K1006" s="15" t="s">
        <v>23</v>
      </c>
    </row>
    <row r="1007" spans="1:11" ht="42" customHeight="1">
      <c r="A1007" s="4" t="s">
        <v>2653</v>
      </c>
      <c r="B1007" s="5" t="s">
        <v>2654</v>
      </c>
      <c r="C1007" s="5" t="s">
        <v>26</v>
      </c>
      <c r="D1007" s="5" t="s">
        <v>27</v>
      </c>
      <c r="E1007" s="5" t="s">
        <v>523</v>
      </c>
      <c r="F1007" s="9">
        <v>101</v>
      </c>
      <c r="G1007" s="9">
        <v>1086</v>
      </c>
      <c r="H1007" s="5" t="s">
        <v>21</v>
      </c>
      <c r="I1007" s="5" t="s">
        <v>2656</v>
      </c>
      <c r="J1007" s="12" t="str">
        <f>HYPERLINK("https://www.boe.es/gazeta/dias/1803/12/16/pdfs/GMD-1803-101.pdf#page=10","Abrir facsímil")</f>
        <v>Abrir facsímil</v>
      </c>
      <c r="K1007" s="15" t="s">
        <v>23</v>
      </c>
    </row>
    <row r="1008" spans="1:11" ht="42" customHeight="1">
      <c r="A1008" s="4" t="s">
        <v>2657</v>
      </c>
      <c r="B1008" s="5" t="s">
        <v>2658</v>
      </c>
      <c r="C1008" s="5" t="s">
        <v>26</v>
      </c>
      <c r="D1008" s="5" t="s">
        <v>27</v>
      </c>
      <c r="E1008" s="5" t="s">
        <v>28</v>
      </c>
      <c r="F1008" s="9">
        <v>92</v>
      </c>
      <c r="G1008" s="9">
        <v>986</v>
      </c>
      <c r="H1008" s="5" t="s">
        <v>21</v>
      </c>
      <c r="I1008" s="5" t="s">
        <v>2659</v>
      </c>
      <c r="J1008" s="12" t="str">
        <f>HYPERLINK("https://www.boe.es/gazeta/dias/1803/11/15/pdfs/GMD-1803-92.pdf#page=6","Abrir facsímil")</f>
        <v>Abrir facsímil</v>
      </c>
      <c r="K1008" s="15" t="s">
        <v>23</v>
      </c>
    </row>
    <row r="1009" spans="1:11" ht="42" customHeight="1">
      <c r="A1009" s="4" t="s">
        <v>2660</v>
      </c>
      <c r="B1009" s="5" t="s">
        <v>2661</v>
      </c>
      <c r="C1009" s="5" t="s">
        <v>51</v>
      </c>
      <c r="D1009" s="5" t="s">
        <v>52</v>
      </c>
      <c r="E1009" s="5" t="s">
        <v>71</v>
      </c>
      <c r="F1009" s="9">
        <v>39</v>
      </c>
      <c r="G1009" s="9">
        <v>412</v>
      </c>
      <c r="H1009" s="5" t="s">
        <v>21</v>
      </c>
      <c r="I1009" s="5" t="s">
        <v>2662</v>
      </c>
      <c r="J1009" s="12" t="str">
        <f>HYPERLINK("https://www.boe.es/gazeta/dias/1803/05/17/pdfs/GMD-1803-39.pdf#page=8","Abrir facsímil")</f>
        <v>Abrir facsímil</v>
      </c>
      <c r="K1009" s="15" t="s">
        <v>23</v>
      </c>
    </row>
    <row r="1010" spans="1:11" ht="42" customHeight="1">
      <c r="A1010" s="4" t="s">
        <v>2663</v>
      </c>
      <c r="B1010" s="5" t="s">
        <v>2664</v>
      </c>
      <c r="C1010" s="5" t="s">
        <v>26</v>
      </c>
      <c r="D1010" s="5" t="s">
        <v>27</v>
      </c>
      <c r="E1010" s="5" t="s">
        <v>317</v>
      </c>
      <c r="F1010" s="9">
        <v>12</v>
      </c>
      <c r="G1010" s="9">
        <v>122</v>
      </c>
      <c r="H1010" s="5" t="s">
        <v>21</v>
      </c>
      <c r="I1010" s="5" t="s">
        <v>2665</v>
      </c>
      <c r="J1010" s="12" t="str">
        <f>HYPERLINK("https://www.boe.es/gazeta/dias/1803/02/11/pdfs/GMD-1803-12.pdf#page=10","Abrir facsímil")</f>
        <v>Abrir facsímil</v>
      </c>
      <c r="K1010" s="15" t="s">
        <v>23</v>
      </c>
    </row>
    <row r="1011" spans="1:11" ht="42" customHeight="1">
      <c r="A1011" s="4" t="s">
        <v>2663</v>
      </c>
      <c r="B1011" s="5" t="s">
        <v>2664</v>
      </c>
      <c r="C1011" s="5" t="s">
        <v>51</v>
      </c>
      <c r="D1011" s="5" t="s">
        <v>52</v>
      </c>
      <c r="E1011" s="5" t="s">
        <v>203</v>
      </c>
      <c r="F1011" s="9">
        <v>32</v>
      </c>
      <c r="G1011" s="9">
        <v>337</v>
      </c>
      <c r="H1011" s="5" t="s">
        <v>21</v>
      </c>
      <c r="I1011" s="5" t="s">
        <v>2666</v>
      </c>
      <c r="J1011" s="12" t="str">
        <f>HYPERLINK("https://www.boe.es/gazeta/dias/1803/04/22/pdfs/GMD-1803-32.pdf#page=9","Abrir facsímil")</f>
        <v>Abrir facsímil</v>
      </c>
      <c r="K1011" s="15" t="s">
        <v>23</v>
      </c>
    </row>
    <row r="1012" spans="1:11" ht="42" customHeight="1">
      <c r="A1012" s="4" t="s">
        <v>2667</v>
      </c>
      <c r="B1012" s="5" t="s">
        <v>2668</v>
      </c>
      <c r="C1012" s="5" t="s">
        <v>26</v>
      </c>
      <c r="D1012" s="5" t="s">
        <v>27</v>
      </c>
      <c r="E1012" s="5" t="s">
        <v>218</v>
      </c>
      <c r="F1012" s="9">
        <v>19</v>
      </c>
      <c r="G1012" s="9">
        <v>202</v>
      </c>
      <c r="H1012" s="5" t="s">
        <v>21</v>
      </c>
      <c r="I1012" s="5" t="s">
        <v>2669</v>
      </c>
      <c r="J1012" s="12" t="str">
        <f>HYPERLINK("https://www.boe.es/gazeta/dias/1803/03/08/pdfs/GMD-1803-19.pdf#page=10","Abrir facsímil")</f>
        <v>Abrir facsímil</v>
      </c>
      <c r="K1012" s="15" t="s">
        <v>23</v>
      </c>
    </row>
    <row r="1013" spans="1:11" ht="42" customHeight="1">
      <c r="A1013" s="4" t="s">
        <v>2670</v>
      </c>
      <c r="B1013" s="5" t="s">
        <v>2671</v>
      </c>
      <c r="C1013" s="5" t="s">
        <v>26</v>
      </c>
      <c r="D1013" s="5" t="s">
        <v>27</v>
      </c>
      <c r="E1013" s="5" t="s">
        <v>289</v>
      </c>
      <c r="F1013" s="9">
        <v>38</v>
      </c>
      <c r="G1013" s="9">
        <v>403</v>
      </c>
      <c r="H1013" s="5" t="s">
        <v>21</v>
      </c>
      <c r="I1013" s="5" t="s">
        <v>2672</v>
      </c>
      <c r="J1013" s="12" t="str">
        <f>HYPERLINK("https://www.boe.es/gazeta/dias/1803/05/13/pdfs/GMD-1803-38.pdf#page=11","Abrir facsímil")</f>
        <v>Abrir facsímil</v>
      </c>
      <c r="K1013" s="15" t="s">
        <v>23</v>
      </c>
    </row>
    <row r="1014" spans="1:11" ht="42" customHeight="1">
      <c r="A1014" s="4" t="s">
        <v>2673</v>
      </c>
      <c r="B1014" s="5" t="s">
        <v>2674</v>
      </c>
      <c r="C1014" s="5" t="s">
        <v>46</v>
      </c>
      <c r="D1014" s="5" t="s">
        <v>19</v>
      </c>
      <c r="E1014" s="5" t="s">
        <v>606</v>
      </c>
      <c r="F1014" s="9">
        <v>47</v>
      </c>
      <c r="G1014" s="9">
        <v>499</v>
      </c>
      <c r="H1014" s="5" t="s">
        <v>21</v>
      </c>
      <c r="I1014" s="5" t="s">
        <v>2675</v>
      </c>
      <c r="J1014" s="12" t="str">
        <f>HYPERLINK("https://www.boe.es/gazeta/dias/1803/06/14/pdfs/GMD-1803-47.pdf#page=11","Abrir facsímil")</f>
        <v>Abrir facsímil</v>
      </c>
      <c r="K1014" s="15" t="s">
        <v>23</v>
      </c>
    </row>
    <row r="1015" spans="1:11" ht="42" customHeight="1">
      <c r="A1015" s="4" t="s">
        <v>2676</v>
      </c>
      <c r="B1015" s="5" t="s">
        <v>2677</v>
      </c>
      <c r="C1015" s="5" t="s">
        <v>51</v>
      </c>
      <c r="D1015" s="5" t="s">
        <v>52</v>
      </c>
      <c r="E1015" s="5" t="s">
        <v>231</v>
      </c>
      <c r="F1015" s="9">
        <v>26</v>
      </c>
      <c r="G1015" s="9">
        <v>281</v>
      </c>
      <c r="H1015" s="5" t="s">
        <v>21</v>
      </c>
      <c r="I1015" s="5" t="s">
        <v>2678</v>
      </c>
      <c r="J1015" s="12" t="str">
        <f>HYPERLINK("https://www.boe.es/gazeta/dias/1803/04/01/pdfs/GMD-1803-26.pdf#page=9","Abrir facsímil")</f>
        <v>Abrir facsímil</v>
      </c>
      <c r="K1015" s="15" t="s">
        <v>23</v>
      </c>
    </row>
    <row r="1016" spans="1:11" ht="42" customHeight="1">
      <c r="A1016" s="4" t="s">
        <v>2679</v>
      </c>
      <c r="B1016" s="5" t="s">
        <v>2680</v>
      </c>
      <c r="C1016" s="5" t="s">
        <v>225</v>
      </c>
      <c r="D1016" s="5" t="s">
        <v>226</v>
      </c>
      <c r="E1016" s="5" t="s">
        <v>191</v>
      </c>
      <c r="F1016" s="9">
        <v>34</v>
      </c>
      <c r="G1016" s="9" t="s">
        <v>227</v>
      </c>
      <c r="H1016" s="5" t="s">
        <v>21</v>
      </c>
      <c r="I1016" s="5" t="s">
        <v>2681</v>
      </c>
      <c r="J1016" s="12" t="str">
        <f>HYPERLINK("https://www.boe.es/gazeta/dias/1803/04/29/pdfs/GMD-C-1803-34.pdf#page=7","Abrir facsímil")</f>
        <v>Abrir facsímil</v>
      </c>
      <c r="K1016" s="15" t="s">
        <v>23</v>
      </c>
    </row>
    <row r="1017" spans="1:11" ht="42" customHeight="1">
      <c r="A1017" s="4" t="s">
        <v>2682</v>
      </c>
      <c r="B1017" s="5" t="s">
        <v>2683</v>
      </c>
      <c r="C1017" s="5" t="s">
        <v>80</v>
      </c>
      <c r="D1017" s="5" t="s">
        <v>81</v>
      </c>
      <c r="E1017" s="5" t="s">
        <v>191</v>
      </c>
      <c r="F1017" s="9">
        <v>34</v>
      </c>
      <c r="G1017" s="9" t="s">
        <v>1985</v>
      </c>
      <c r="H1017" s="5" t="s">
        <v>21</v>
      </c>
      <c r="I1017" s="5" t="s">
        <v>2684</v>
      </c>
      <c r="J1017" s="12" t="str">
        <f>HYPERLINK("https://www.boe.es/gazeta/dias/1803/04/29/pdfs/GMD-C-1803-34.pdf#page=8","Abrir facsímil")</f>
        <v>Abrir facsímil</v>
      </c>
      <c r="K1017" s="15" t="s">
        <v>23</v>
      </c>
    </row>
    <row r="1018" spans="1:11" ht="42" customHeight="1">
      <c r="A1018" s="4" t="s">
        <v>2682</v>
      </c>
      <c r="B1018" s="5" t="s">
        <v>2683</v>
      </c>
      <c r="C1018" s="5" t="s">
        <v>80</v>
      </c>
      <c r="D1018" s="5" t="s">
        <v>81</v>
      </c>
      <c r="E1018" s="5" t="s">
        <v>882</v>
      </c>
      <c r="F1018" s="9">
        <v>60</v>
      </c>
      <c r="G1018" s="9">
        <v>660</v>
      </c>
      <c r="H1018" s="5" t="s">
        <v>21</v>
      </c>
      <c r="I1018" s="5" t="s">
        <v>2685</v>
      </c>
      <c r="J1018" s="12" t="str">
        <f>HYPERLINK("https://www.boe.es/gazeta/dias/1803/07/29/pdfs/GMD-1803-60.pdf#page=12","Abrir facsímil")</f>
        <v>Abrir facsímil</v>
      </c>
      <c r="K1018" s="15" t="s">
        <v>23</v>
      </c>
    </row>
    <row r="1019" spans="1:11" ht="42" customHeight="1">
      <c r="A1019" s="4" t="s">
        <v>2679</v>
      </c>
      <c r="B1019" s="5" t="s">
        <v>2680</v>
      </c>
      <c r="C1019" s="5" t="s">
        <v>80</v>
      </c>
      <c r="D1019" s="5" t="s">
        <v>81</v>
      </c>
      <c r="E1019" s="5" t="s">
        <v>28</v>
      </c>
      <c r="F1019" s="9">
        <v>92</v>
      </c>
      <c r="G1019" s="9">
        <v>987</v>
      </c>
      <c r="H1019" s="5" t="s">
        <v>21</v>
      </c>
      <c r="I1019" s="5" t="s">
        <v>2686</v>
      </c>
      <c r="J1019" s="12" t="str">
        <f>HYPERLINK("https://www.boe.es/gazeta/dias/1803/11/15/pdfs/GMD-1803-92.pdf#page=7","Abrir facsímil")</f>
        <v>Abrir facsímil</v>
      </c>
      <c r="K1019" s="15" t="s">
        <v>23</v>
      </c>
    </row>
    <row r="1020" spans="1:11" ht="42" customHeight="1">
      <c r="A1020" s="4" t="s">
        <v>2687</v>
      </c>
      <c r="B1020" s="5" t="s">
        <v>2688</v>
      </c>
      <c r="C1020" s="5" t="s">
        <v>26</v>
      </c>
      <c r="D1020" s="5" t="s">
        <v>27</v>
      </c>
      <c r="E1020" s="5" t="s">
        <v>88</v>
      </c>
      <c r="F1020" s="9">
        <v>18</v>
      </c>
      <c r="G1020" s="9">
        <v>188</v>
      </c>
      <c r="H1020" s="5" t="s">
        <v>21</v>
      </c>
      <c r="I1020" s="5" t="s">
        <v>2689</v>
      </c>
      <c r="J1020" s="12" t="str">
        <f>HYPERLINK("https://www.boe.es/gazeta/dias/1803/03/04/pdfs/GMD-1803-18.pdf#page=8","Abrir facsímil")</f>
        <v>Abrir facsímil</v>
      </c>
      <c r="K1020" s="15" t="s">
        <v>23</v>
      </c>
    </row>
    <row r="1021" spans="1:11" ht="42" customHeight="1">
      <c r="A1021" s="4" t="s">
        <v>2690</v>
      </c>
      <c r="B1021" s="5" t="s">
        <v>2691</v>
      </c>
      <c r="C1021" s="5" t="s">
        <v>26</v>
      </c>
      <c r="D1021" s="5" t="s">
        <v>27</v>
      </c>
      <c r="E1021" s="5" t="s">
        <v>148</v>
      </c>
      <c r="F1021" s="9">
        <v>15</v>
      </c>
      <c r="G1021" s="9">
        <v>158</v>
      </c>
      <c r="H1021" s="5" t="s">
        <v>21</v>
      </c>
      <c r="I1021" s="5" t="s">
        <v>2692</v>
      </c>
      <c r="J1021" s="12" t="str">
        <f>HYPERLINK("https://www.boe.es/gazeta/dias/1803/02/22/pdfs/GMD-1803-15.pdf#page=10","Abrir facsímil")</f>
        <v>Abrir facsímil</v>
      </c>
      <c r="K1021" s="15" t="s">
        <v>23</v>
      </c>
    </row>
    <row r="1022" spans="1:11" ht="42" customHeight="1">
      <c r="A1022" s="4" t="s">
        <v>2693</v>
      </c>
      <c r="B1022" s="5" t="s">
        <v>2694</v>
      </c>
      <c r="C1022" s="5" t="s">
        <v>51</v>
      </c>
      <c r="D1022" s="5" t="s">
        <v>52</v>
      </c>
      <c r="E1022" s="5" t="s">
        <v>148</v>
      </c>
      <c r="F1022" s="9">
        <v>15</v>
      </c>
      <c r="G1022" s="9">
        <v>157</v>
      </c>
      <c r="H1022" s="5" t="s">
        <v>21</v>
      </c>
      <c r="I1022" s="5" t="s">
        <v>2695</v>
      </c>
      <c r="J1022" s="12" t="str">
        <f>HYPERLINK("https://www.boe.es/gazeta/dias/1803/02/22/pdfs/GMD-1803-15.pdf#page=9","Abrir facsímil")</f>
        <v>Abrir facsímil</v>
      </c>
      <c r="K1022" s="15" t="s">
        <v>23</v>
      </c>
    </row>
    <row r="1023" spans="1:11" ht="42" customHeight="1">
      <c r="A1023" s="4" t="s">
        <v>2696</v>
      </c>
      <c r="B1023" s="5" t="s">
        <v>2697</v>
      </c>
      <c r="C1023" s="5" t="s">
        <v>46</v>
      </c>
      <c r="D1023" s="5" t="s">
        <v>19</v>
      </c>
      <c r="E1023" s="5" t="s">
        <v>321</v>
      </c>
      <c r="F1023" s="9">
        <v>94</v>
      </c>
      <c r="G1023" s="9">
        <v>1012</v>
      </c>
      <c r="H1023" s="5" t="s">
        <v>21</v>
      </c>
      <c r="I1023" s="5" t="s">
        <v>2698</v>
      </c>
      <c r="J1023" s="12" t="str">
        <f>HYPERLINK("https://www.boe.es/gazeta/dias/1803/11/22/pdfs/GMD-1803-94.pdf#page=12","Abrir facsímil")</f>
        <v>Abrir facsímil</v>
      </c>
      <c r="K1023" s="15" t="s">
        <v>23</v>
      </c>
    </row>
    <row r="1024" spans="1:11" ht="42" customHeight="1">
      <c r="A1024" s="4" t="s">
        <v>2699</v>
      </c>
      <c r="B1024" s="5" t="s">
        <v>2700</v>
      </c>
      <c r="C1024" s="5" t="s">
        <v>51</v>
      </c>
      <c r="D1024" s="5" t="s">
        <v>52</v>
      </c>
      <c r="E1024" s="5" t="s">
        <v>207</v>
      </c>
      <c r="F1024" s="9">
        <v>27</v>
      </c>
      <c r="G1024" s="9">
        <v>295</v>
      </c>
      <c r="H1024" s="5" t="s">
        <v>21</v>
      </c>
      <c r="I1024" s="5" t="s">
        <v>2701</v>
      </c>
      <c r="J1024" s="12" t="str">
        <f>HYPERLINK("https://www.boe.es/gazeta/dias/1803/04/05/pdfs/GMD-1803-27.pdf#page=11","Abrir facsímil")</f>
        <v>Abrir facsímil</v>
      </c>
      <c r="K1024" s="15" t="s">
        <v>23</v>
      </c>
    </row>
    <row r="1025" spans="1:11" ht="42" customHeight="1">
      <c r="A1025" s="4" t="s">
        <v>2702</v>
      </c>
      <c r="B1025" s="5" t="s">
        <v>2703</v>
      </c>
      <c r="C1025" s="5" t="s">
        <v>26</v>
      </c>
      <c r="D1025" s="5" t="s">
        <v>27</v>
      </c>
      <c r="E1025" s="5" t="s">
        <v>967</v>
      </c>
      <c r="F1025" s="9">
        <v>35</v>
      </c>
      <c r="G1025" s="9">
        <v>367</v>
      </c>
      <c r="H1025" s="5" t="s">
        <v>21</v>
      </c>
      <c r="I1025" s="5" t="s">
        <v>2704</v>
      </c>
      <c r="J1025" s="12" t="str">
        <f>HYPERLINK("https://www.boe.es/gazeta/dias/1803/05/03/pdfs/GMD-1803-35.pdf#page=7","Abrir facsímil")</f>
        <v>Abrir facsímil</v>
      </c>
      <c r="K1025" s="15" t="s">
        <v>23</v>
      </c>
    </row>
    <row r="1026" spans="1:11" ht="42" customHeight="1">
      <c r="A1026" s="4" t="s">
        <v>2705</v>
      </c>
      <c r="B1026" s="5" t="s">
        <v>2706</v>
      </c>
      <c r="C1026" s="5" t="s">
        <v>40</v>
      </c>
      <c r="D1026" s="5" t="s">
        <v>41</v>
      </c>
      <c r="E1026" s="5" t="s">
        <v>164</v>
      </c>
      <c r="F1026" s="9">
        <v>84</v>
      </c>
      <c r="G1026" s="9">
        <v>901</v>
      </c>
      <c r="H1026" s="5" t="s">
        <v>21</v>
      </c>
      <c r="I1026" s="5" t="s">
        <v>2707</v>
      </c>
      <c r="J1026" s="12" t="str">
        <f>HYPERLINK("https://www.boe.es/gazeta/dias/1803/10/18/pdfs/GMD-1803-84.pdf#page=5","Abrir facsímil")</f>
        <v>Abrir facsímil</v>
      </c>
      <c r="K1026" s="15" t="s">
        <v>23</v>
      </c>
    </row>
    <row r="1027" spans="1:11" ht="42" customHeight="1">
      <c r="A1027" s="4" t="s">
        <v>2708</v>
      </c>
      <c r="B1027" s="5" t="s">
        <v>2709</v>
      </c>
      <c r="C1027" s="5" t="s">
        <v>26</v>
      </c>
      <c r="D1027" s="5" t="s">
        <v>27</v>
      </c>
      <c r="E1027" s="5" t="s">
        <v>477</v>
      </c>
      <c r="F1027" s="9">
        <v>48</v>
      </c>
      <c r="G1027" s="9">
        <v>511</v>
      </c>
      <c r="H1027" s="5" t="s">
        <v>21</v>
      </c>
      <c r="I1027" s="5" t="s">
        <v>2710</v>
      </c>
      <c r="J1027" s="12" t="str">
        <f>HYPERLINK("https://www.boe.es/gazeta/dias/1803/06/17/pdfs/GMD-1803-48.pdf#page=11","Abrir facsímil")</f>
        <v>Abrir facsímil</v>
      </c>
      <c r="K1027" s="15" t="s">
        <v>23</v>
      </c>
    </row>
    <row r="1028" spans="1:11" ht="42" customHeight="1">
      <c r="A1028" s="4" t="s">
        <v>2711</v>
      </c>
      <c r="B1028" s="5" t="s">
        <v>2712</v>
      </c>
      <c r="C1028" s="5" t="s">
        <v>26</v>
      </c>
      <c r="D1028" s="5" t="s">
        <v>27</v>
      </c>
      <c r="E1028" s="5" t="s">
        <v>752</v>
      </c>
      <c r="F1028" s="9">
        <v>30</v>
      </c>
      <c r="G1028" s="9">
        <v>320</v>
      </c>
      <c r="H1028" s="5" t="s">
        <v>21</v>
      </c>
      <c r="I1028" s="5" t="s">
        <v>2713</v>
      </c>
      <c r="J1028" s="12" t="str">
        <f>HYPERLINK("https://www.boe.es/gazeta/dias/1803/04/15/pdfs/GMD-1803-30.pdf#page=8","Abrir facsímil")</f>
        <v>Abrir facsímil</v>
      </c>
      <c r="K1028" s="15" t="s">
        <v>23</v>
      </c>
    </row>
    <row r="1029" spans="1:11" ht="42" customHeight="1">
      <c r="A1029" s="4" t="s">
        <v>2714</v>
      </c>
      <c r="B1029" s="5" t="s">
        <v>2715</v>
      </c>
      <c r="C1029" s="5" t="s">
        <v>18</v>
      </c>
      <c r="D1029" s="5" t="s">
        <v>19</v>
      </c>
      <c r="E1029" s="5" t="s">
        <v>784</v>
      </c>
      <c r="F1029" s="9">
        <v>86</v>
      </c>
      <c r="G1029" s="9">
        <v>930</v>
      </c>
      <c r="H1029" s="5" t="s">
        <v>21</v>
      </c>
      <c r="I1029" s="5" t="s">
        <v>2716</v>
      </c>
      <c r="J1029" s="12" t="str">
        <f>HYPERLINK("https://www.boe.es/gazeta/dias/1803/10/25/pdfs/GMD-1803-86.pdf#page=10","Abrir facsímil")</f>
        <v>Abrir facsímil</v>
      </c>
      <c r="K1029" s="15" t="s">
        <v>23</v>
      </c>
    </row>
    <row r="1030" spans="1:11" ht="42" customHeight="1">
      <c r="A1030" s="4" t="s">
        <v>2717</v>
      </c>
      <c r="B1030" s="5" t="s">
        <v>2718</v>
      </c>
      <c r="C1030" s="5" t="s">
        <v>26</v>
      </c>
      <c r="D1030" s="5" t="s">
        <v>27</v>
      </c>
      <c r="E1030" s="5" t="s">
        <v>657</v>
      </c>
      <c r="F1030" s="9">
        <v>24</v>
      </c>
      <c r="G1030" s="9">
        <v>256</v>
      </c>
      <c r="H1030" s="5" t="s">
        <v>21</v>
      </c>
      <c r="I1030" s="5" t="s">
        <v>2719</v>
      </c>
      <c r="J1030" s="12" t="str">
        <f>HYPERLINK("https://www.boe.es/gazeta/dias/1803/03/25/pdfs/GMD-1803-24.pdf#page=8","Abrir facsímil")</f>
        <v>Abrir facsímil</v>
      </c>
      <c r="K1030" s="15" t="s">
        <v>23</v>
      </c>
    </row>
    <row r="1031" spans="1:11" ht="42" customHeight="1">
      <c r="A1031" s="4" t="s">
        <v>2720</v>
      </c>
      <c r="B1031" s="5" t="s">
        <v>2721</v>
      </c>
      <c r="C1031" s="5" t="s">
        <v>26</v>
      </c>
      <c r="D1031" s="5" t="s">
        <v>27</v>
      </c>
      <c r="E1031" s="5" t="s">
        <v>61</v>
      </c>
      <c r="F1031" s="9">
        <v>67</v>
      </c>
      <c r="G1031" s="9">
        <v>729</v>
      </c>
      <c r="H1031" s="5" t="s">
        <v>21</v>
      </c>
      <c r="I1031" s="5" t="s">
        <v>2722</v>
      </c>
      <c r="J1031" s="12" t="str">
        <f>HYPERLINK("https://www.boe.es/gazeta/dias/1803/08/23/pdfs/GMD-1803-67.pdf#page=9","Abrir facsímil")</f>
        <v>Abrir facsímil</v>
      </c>
      <c r="K1031" s="15" t="s">
        <v>23</v>
      </c>
    </row>
    <row r="1032" spans="1:11" ht="42" customHeight="1">
      <c r="A1032" s="4" t="s">
        <v>2723</v>
      </c>
      <c r="B1032" s="5" t="s">
        <v>2724</v>
      </c>
      <c r="C1032" s="5" t="s">
        <v>18</v>
      </c>
      <c r="D1032" s="5" t="s">
        <v>19</v>
      </c>
      <c r="E1032" s="5" t="s">
        <v>293</v>
      </c>
      <c r="F1032" s="9">
        <v>45</v>
      </c>
      <c r="G1032" s="9">
        <v>468</v>
      </c>
      <c r="H1032" s="5" t="s">
        <v>21</v>
      </c>
      <c r="I1032" s="5" t="s">
        <v>2725</v>
      </c>
      <c r="J1032" s="12" t="str">
        <f>HYPERLINK("https://www.boe.es/gazeta/dias/1803/06/07/pdfs/GMD-1803-45.pdf#page=4","Abrir facsímil")</f>
        <v>Abrir facsímil</v>
      </c>
      <c r="K1032" s="15" t="s">
        <v>23</v>
      </c>
    </row>
    <row r="1033" spans="1:11" ht="42" customHeight="1">
      <c r="A1033" s="4" t="s">
        <v>2726</v>
      </c>
      <c r="B1033" s="5" t="s">
        <v>2727</v>
      </c>
      <c r="C1033" s="5" t="s">
        <v>26</v>
      </c>
      <c r="D1033" s="5" t="s">
        <v>27</v>
      </c>
      <c r="E1033" s="5" t="s">
        <v>272</v>
      </c>
      <c r="F1033" s="9">
        <v>25</v>
      </c>
      <c r="G1033" s="9">
        <v>266</v>
      </c>
      <c r="H1033" s="5" t="s">
        <v>21</v>
      </c>
      <c r="I1033" s="5" t="s">
        <v>2728</v>
      </c>
      <c r="J1033" s="12" t="str">
        <f>HYPERLINK("https://www.boe.es/gazeta/dias/1803/03/29/pdfs/GMD-1803-25.pdf#page=6","Abrir facsímil")</f>
        <v>Abrir facsímil</v>
      </c>
      <c r="K1033" s="15" t="s">
        <v>23</v>
      </c>
    </row>
    <row r="1034" spans="1:11" ht="42" customHeight="1">
      <c r="A1034" s="4" t="s">
        <v>2729</v>
      </c>
      <c r="B1034" s="5" t="s">
        <v>2730</v>
      </c>
      <c r="C1034" s="5" t="s">
        <v>18</v>
      </c>
      <c r="D1034" s="5" t="s">
        <v>19</v>
      </c>
      <c r="E1034" s="5" t="s">
        <v>407</v>
      </c>
      <c r="F1034" s="9">
        <v>82</v>
      </c>
      <c r="G1034" s="9">
        <v>885</v>
      </c>
      <c r="H1034" s="5" t="s">
        <v>21</v>
      </c>
      <c r="I1034" s="5" t="s">
        <v>2731</v>
      </c>
      <c r="J1034" s="12" t="str">
        <f>HYPERLINK("https://www.boe.es/gazeta/dias/1803/10/11/pdfs/GMD-1803-82.pdf#page=9","Abrir facsímil")</f>
        <v>Abrir facsímil</v>
      </c>
      <c r="K1034" s="15" t="s">
        <v>23</v>
      </c>
    </row>
    <row r="1035" spans="1:11" ht="42" customHeight="1">
      <c r="A1035" s="4" t="s">
        <v>2732</v>
      </c>
      <c r="B1035" s="5" t="s">
        <v>2733</v>
      </c>
      <c r="C1035" s="5" t="s">
        <v>26</v>
      </c>
      <c r="D1035" s="5" t="s">
        <v>27</v>
      </c>
      <c r="E1035" s="5" t="s">
        <v>83</v>
      </c>
      <c r="F1035" s="9">
        <v>28</v>
      </c>
      <c r="G1035" s="9">
        <v>304</v>
      </c>
      <c r="H1035" s="5" t="s">
        <v>21</v>
      </c>
      <c r="I1035" s="5" t="s">
        <v>2734</v>
      </c>
      <c r="J1035" s="12" t="str">
        <f>HYPERLINK("https://www.boe.es/gazeta/dias/1803/04/08/pdfs/GMD-1803-28.pdf#page=8","Abrir facsímil")</f>
        <v>Abrir facsímil</v>
      </c>
      <c r="K1035" s="15" t="s">
        <v>23</v>
      </c>
    </row>
    <row r="1036" spans="1:11" ht="42" customHeight="1">
      <c r="A1036" s="4" t="s">
        <v>2735</v>
      </c>
      <c r="B1036" s="5" t="s">
        <v>2736</v>
      </c>
      <c r="C1036" s="5" t="s">
        <v>51</v>
      </c>
      <c r="D1036" s="5" t="s">
        <v>52</v>
      </c>
      <c r="E1036" s="5" t="s">
        <v>61</v>
      </c>
      <c r="F1036" s="9">
        <v>67</v>
      </c>
      <c r="G1036" s="9">
        <v>732</v>
      </c>
      <c r="H1036" s="5" t="s">
        <v>21</v>
      </c>
      <c r="I1036" s="5" t="s">
        <v>2737</v>
      </c>
      <c r="J1036" s="12" t="str">
        <f>HYPERLINK("https://www.boe.es/gazeta/dias/1803/08/23/pdfs/GMD-1803-67.pdf#page=12","Abrir facsímil")</f>
        <v>Abrir facsímil</v>
      </c>
      <c r="K1036" s="15" t="s">
        <v>23</v>
      </c>
    </row>
    <row r="1037" spans="1:11" ht="42" customHeight="1">
      <c r="A1037" s="4" t="s">
        <v>2738</v>
      </c>
      <c r="B1037" s="5" t="s">
        <v>2739</v>
      </c>
      <c r="C1037" s="5" t="s">
        <v>51</v>
      </c>
      <c r="D1037" s="5" t="s">
        <v>52</v>
      </c>
      <c r="E1037" s="5" t="s">
        <v>231</v>
      </c>
      <c r="F1037" s="9">
        <v>26</v>
      </c>
      <c r="G1037" s="9">
        <v>284</v>
      </c>
      <c r="H1037" s="5" t="s">
        <v>21</v>
      </c>
      <c r="I1037" s="5" t="s">
        <v>2740</v>
      </c>
      <c r="J1037" s="12" t="str">
        <f>HYPERLINK("https://www.boe.es/gazeta/dias/1803/04/01/pdfs/GMD-1803-26.pdf#page=12","Abrir facsímil")</f>
        <v>Abrir facsímil</v>
      </c>
      <c r="K1037" s="15" t="s">
        <v>23</v>
      </c>
    </row>
    <row r="1038" spans="1:11" ht="42" customHeight="1">
      <c r="A1038" s="4" t="s">
        <v>2741</v>
      </c>
      <c r="B1038" s="5" t="s">
        <v>2742</v>
      </c>
      <c r="C1038" s="5" t="s">
        <v>18</v>
      </c>
      <c r="D1038" s="5" t="s">
        <v>19</v>
      </c>
      <c r="E1038" s="5" t="s">
        <v>501</v>
      </c>
      <c r="F1038" s="9">
        <v>22</v>
      </c>
      <c r="G1038" s="9">
        <v>238</v>
      </c>
      <c r="H1038" s="5" t="s">
        <v>21</v>
      </c>
      <c r="I1038" s="5" t="s">
        <v>2743</v>
      </c>
      <c r="J1038" s="12" t="str">
        <f>HYPERLINK("https://www.boe.es/gazeta/dias/1803/03/18/pdfs/GMD-1803-22.pdf#page=10","Abrir facsímil")</f>
        <v>Abrir facsímil</v>
      </c>
      <c r="K1038" s="15" t="s">
        <v>23</v>
      </c>
    </row>
    <row r="1039" spans="1:11" ht="42" customHeight="1">
      <c r="A1039" s="4" t="s">
        <v>2744</v>
      </c>
      <c r="B1039" s="5" t="s">
        <v>2745</v>
      </c>
      <c r="C1039" s="5" t="s">
        <v>40</v>
      </c>
      <c r="D1039" s="5" t="s">
        <v>41</v>
      </c>
      <c r="E1039" s="5" t="s">
        <v>361</v>
      </c>
      <c r="F1039" s="9">
        <v>62</v>
      </c>
      <c r="G1039" s="9">
        <v>675</v>
      </c>
      <c r="H1039" s="5" t="s">
        <v>21</v>
      </c>
      <c r="I1039" s="5" t="s">
        <v>2746</v>
      </c>
      <c r="J1039" s="12" t="str">
        <f>HYPERLINK("https://www.boe.es/gazeta/dias/1803/08/05/pdfs/GMD-1803-62.pdf#page=7","Abrir facsímil")</f>
        <v>Abrir facsímil</v>
      </c>
      <c r="K1039" s="15" t="s">
        <v>23</v>
      </c>
    </row>
    <row r="1040" spans="1:11" ht="42" customHeight="1">
      <c r="A1040" s="4" t="s">
        <v>2747</v>
      </c>
      <c r="B1040" s="5" t="s">
        <v>2748</v>
      </c>
      <c r="C1040" s="5" t="s">
        <v>80</v>
      </c>
      <c r="D1040" s="5" t="s">
        <v>81</v>
      </c>
      <c r="E1040" s="5" t="s">
        <v>231</v>
      </c>
      <c r="F1040" s="9">
        <v>26</v>
      </c>
      <c r="G1040" s="9">
        <v>283</v>
      </c>
      <c r="H1040" s="5" t="s">
        <v>21</v>
      </c>
      <c r="I1040" s="5" t="s">
        <v>2749</v>
      </c>
      <c r="J1040" s="12" t="str">
        <f>HYPERLINK("https://www.boe.es/gazeta/dias/1803/04/01/pdfs/GMD-1803-26.pdf#page=11","Abrir facsímil")</f>
        <v>Abrir facsímil</v>
      </c>
      <c r="K1040" s="15" t="s">
        <v>23</v>
      </c>
    </row>
    <row r="1041" spans="1:11" ht="42" customHeight="1">
      <c r="A1041" s="4" t="s">
        <v>2750</v>
      </c>
      <c r="B1041" s="5" t="s">
        <v>2751</v>
      </c>
      <c r="C1041" s="5" t="s">
        <v>26</v>
      </c>
      <c r="D1041" s="5" t="s">
        <v>27</v>
      </c>
      <c r="E1041" s="5" t="s">
        <v>61</v>
      </c>
      <c r="F1041" s="9">
        <v>67</v>
      </c>
      <c r="G1041" s="9">
        <v>729</v>
      </c>
      <c r="H1041" s="5" t="s">
        <v>21</v>
      </c>
      <c r="I1041" s="5" t="s">
        <v>2752</v>
      </c>
      <c r="J1041" s="12" t="str">
        <f>HYPERLINK("https://www.boe.es/gazeta/dias/1803/08/23/pdfs/GMD-1803-67.pdf#page=9","Abrir facsímil")</f>
        <v>Abrir facsímil</v>
      </c>
      <c r="K1041" s="15" t="s">
        <v>23</v>
      </c>
    </row>
    <row r="1042" spans="1:11" ht="42" customHeight="1">
      <c r="A1042" s="4" t="s">
        <v>2753</v>
      </c>
      <c r="B1042" s="5" t="s">
        <v>2754</v>
      </c>
      <c r="C1042" s="5" t="s">
        <v>40</v>
      </c>
      <c r="D1042" s="5" t="s">
        <v>41</v>
      </c>
      <c r="E1042" s="5" t="s">
        <v>303</v>
      </c>
      <c r="F1042" s="9">
        <v>8</v>
      </c>
      <c r="G1042" s="9">
        <v>73</v>
      </c>
      <c r="H1042" s="5" t="s">
        <v>21</v>
      </c>
      <c r="I1042" s="5" t="s">
        <v>2755</v>
      </c>
      <c r="J1042" s="12" t="str">
        <f>HYPERLINK("https://www.boe.es/gazeta/dias/1803/01/28/pdfs/GMD-1803-8.pdf#page=1","Abrir facsímil")</f>
        <v>Abrir facsímil</v>
      </c>
      <c r="K1042" s="15" t="s">
        <v>23</v>
      </c>
    </row>
    <row r="1043" spans="1:11" ht="42" customHeight="1">
      <c r="A1043" s="4" t="s">
        <v>2756</v>
      </c>
      <c r="B1043" s="5" t="s">
        <v>2757</v>
      </c>
      <c r="C1043" s="5" t="s">
        <v>26</v>
      </c>
      <c r="D1043" s="5" t="s">
        <v>27</v>
      </c>
      <c r="E1043" s="5" t="s">
        <v>369</v>
      </c>
      <c r="F1043" s="9">
        <v>100</v>
      </c>
      <c r="G1043" s="9">
        <v>1067</v>
      </c>
      <c r="H1043" s="5" t="s">
        <v>21</v>
      </c>
      <c r="I1043" s="5" t="s">
        <v>2758</v>
      </c>
      <c r="J1043" s="12" t="str">
        <f>HYPERLINK("https://www.boe.es/gazeta/dias/1803/12/13/pdfs/GMD-1803-100.pdf#page=3","Abrir facsímil")</f>
        <v>Abrir facsímil</v>
      </c>
      <c r="K1043" s="15" t="s">
        <v>23</v>
      </c>
    </row>
    <row r="1044" spans="1:11" ht="42" customHeight="1">
      <c r="A1044" s="4" t="s">
        <v>2759</v>
      </c>
      <c r="B1044" s="5" t="s">
        <v>2760</v>
      </c>
      <c r="C1044" s="5" t="s">
        <v>26</v>
      </c>
      <c r="D1044" s="5" t="s">
        <v>27</v>
      </c>
      <c r="E1044" s="5" t="s">
        <v>199</v>
      </c>
      <c r="F1044" s="9">
        <v>88</v>
      </c>
      <c r="G1044" s="9">
        <v>948</v>
      </c>
      <c r="H1044" s="5" t="s">
        <v>21</v>
      </c>
      <c r="I1044" s="5" t="s">
        <v>2761</v>
      </c>
      <c r="J1044" s="12" t="str">
        <f>HYPERLINK("https://www.boe.es/gazeta/dias/1803/11/01/pdfs/GMD-1803-88.pdf#page=8","Abrir facsímil")</f>
        <v>Abrir facsímil</v>
      </c>
      <c r="K1044" s="15" t="s">
        <v>23</v>
      </c>
    </row>
    <row r="1045" spans="1:11" ht="42" customHeight="1">
      <c r="A1045" s="4" t="s">
        <v>2762</v>
      </c>
      <c r="B1045" s="5" t="s">
        <v>2763</v>
      </c>
      <c r="C1045" s="5" t="s">
        <v>51</v>
      </c>
      <c r="D1045" s="5" t="s">
        <v>52</v>
      </c>
      <c r="E1045" s="5" t="s">
        <v>148</v>
      </c>
      <c r="F1045" s="9">
        <v>15</v>
      </c>
      <c r="G1045" s="9">
        <v>156</v>
      </c>
      <c r="H1045" s="5" t="s">
        <v>21</v>
      </c>
      <c r="I1045" s="5" t="s">
        <v>2764</v>
      </c>
      <c r="J1045" s="12" t="str">
        <f>HYPERLINK("https://www.boe.es/gazeta/dias/1803/02/22/pdfs/GMD-1803-15.pdf#page=8","Abrir facsímil")</f>
        <v>Abrir facsímil</v>
      </c>
      <c r="K1045" s="15" t="s">
        <v>23</v>
      </c>
    </row>
    <row r="1046" spans="1:11" ht="42" customHeight="1">
      <c r="A1046" s="4" t="s">
        <v>2765</v>
      </c>
      <c r="B1046" s="5" t="s">
        <v>2766</v>
      </c>
      <c r="C1046" s="5" t="s">
        <v>18</v>
      </c>
      <c r="D1046" s="5" t="s">
        <v>19</v>
      </c>
      <c r="E1046" s="5" t="s">
        <v>148</v>
      </c>
      <c r="F1046" s="9">
        <v>15</v>
      </c>
      <c r="G1046" s="9">
        <v>156</v>
      </c>
      <c r="H1046" s="5" t="s">
        <v>21</v>
      </c>
      <c r="I1046" s="5" t="s">
        <v>2767</v>
      </c>
      <c r="J1046" s="12" t="str">
        <f>HYPERLINK("https://www.boe.es/gazeta/dias/1803/02/22/pdfs/GMD-1803-15.pdf#page=8","Abrir facsímil")</f>
        <v>Abrir facsímil</v>
      </c>
      <c r="K1046" s="15" t="s">
        <v>23</v>
      </c>
    </row>
    <row r="1047" spans="1:11" ht="42" customHeight="1">
      <c r="A1047" s="4" t="s">
        <v>2768</v>
      </c>
      <c r="B1047" s="5" t="s">
        <v>2769</v>
      </c>
      <c r="C1047" s="5" t="s">
        <v>18</v>
      </c>
      <c r="D1047" s="5" t="s">
        <v>19</v>
      </c>
      <c r="E1047" s="5" t="s">
        <v>967</v>
      </c>
      <c r="F1047" s="9">
        <v>35</v>
      </c>
      <c r="G1047" s="9">
        <v>367</v>
      </c>
      <c r="H1047" s="5" t="s">
        <v>21</v>
      </c>
      <c r="I1047" s="5" t="s">
        <v>2770</v>
      </c>
      <c r="J1047" s="12" t="str">
        <f>HYPERLINK("https://www.boe.es/gazeta/dias/1803/05/03/pdfs/GMD-1803-35.pdf#page=7","Abrir facsímil")</f>
        <v>Abrir facsímil</v>
      </c>
      <c r="K1047" s="15" t="s">
        <v>23</v>
      </c>
    </row>
    <row r="1048" spans="1:11" ht="42" customHeight="1">
      <c r="A1048" s="4" t="s">
        <v>2771</v>
      </c>
      <c r="B1048" s="5" t="s">
        <v>2772</v>
      </c>
      <c r="C1048" s="5" t="s">
        <v>18</v>
      </c>
      <c r="D1048" s="5" t="s">
        <v>19</v>
      </c>
      <c r="E1048" s="5" t="s">
        <v>395</v>
      </c>
      <c r="F1048" s="9">
        <v>13</v>
      </c>
      <c r="G1048" s="9">
        <v>133</v>
      </c>
      <c r="H1048" s="5" t="s">
        <v>21</v>
      </c>
      <c r="I1048" s="5" t="s">
        <v>2773</v>
      </c>
      <c r="J1048" s="12" t="str">
        <f>HYPERLINK("https://www.boe.es/gazeta/dias/1803/02/15/pdfs/GMD-1803-13.pdf#page=9","Abrir facsímil")</f>
        <v>Abrir facsímil</v>
      </c>
      <c r="K1048" s="15" t="s">
        <v>23</v>
      </c>
    </row>
    <row r="1049" spans="1:11" ht="42" customHeight="1">
      <c r="A1049" s="4" t="s">
        <v>2774</v>
      </c>
      <c r="B1049" s="5" t="s">
        <v>2775</v>
      </c>
      <c r="C1049" s="5" t="s">
        <v>46</v>
      </c>
      <c r="D1049" s="5" t="s">
        <v>19</v>
      </c>
      <c r="E1049" s="5" t="s">
        <v>138</v>
      </c>
      <c r="F1049" s="9">
        <v>68</v>
      </c>
      <c r="G1049" s="9">
        <v>743</v>
      </c>
      <c r="H1049" s="5" t="s">
        <v>21</v>
      </c>
      <c r="I1049" s="5" t="s">
        <v>2776</v>
      </c>
      <c r="J1049" s="12" t="str">
        <f>HYPERLINK("https://www.boe.es/gazeta/dias/1803/08/26/pdfs/GMD-1803-68.pdf#page=11","Abrir facsímil")</f>
        <v>Abrir facsímil</v>
      </c>
      <c r="K1049" s="15" t="s">
        <v>23</v>
      </c>
    </row>
    <row r="1050" spans="1:11" ht="42" customHeight="1">
      <c r="A1050" s="4" t="s">
        <v>2777</v>
      </c>
      <c r="B1050" s="5" t="s">
        <v>2778</v>
      </c>
      <c r="C1050" s="5" t="s">
        <v>46</v>
      </c>
      <c r="D1050" s="5" t="s">
        <v>19</v>
      </c>
      <c r="E1050" s="5" t="s">
        <v>42</v>
      </c>
      <c r="F1050" s="9">
        <v>10</v>
      </c>
      <c r="G1050" s="9">
        <v>103</v>
      </c>
      <c r="H1050" s="5" t="s">
        <v>21</v>
      </c>
      <c r="I1050" s="5" t="s">
        <v>2779</v>
      </c>
      <c r="J1050" s="12" t="str">
        <f>HYPERLINK("https://www.boe.es/gazeta/dias/1803/02/04/pdfs/GMD-1803-10.pdf#page=7","Abrir facsímil")</f>
        <v>Abrir facsímil</v>
      </c>
      <c r="K1050" s="15" t="s">
        <v>23</v>
      </c>
    </row>
    <row r="1051" spans="1:11" ht="42" customHeight="1">
      <c r="A1051" s="4" t="s">
        <v>2780</v>
      </c>
      <c r="B1051" s="5" t="s">
        <v>2781</v>
      </c>
      <c r="C1051" s="5" t="s">
        <v>46</v>
      </c>
      <c r="D1051" s="5" t="s">
        <v>19</v>
      </c>
      <c r="E1051" s="5" t="s">
        <v>207</v>
      </c>
      <c r="F1051" s="9">
        <v>27</v>
      </c>
      <c r="G1051" s="9">
        <v>295</v>
      </c>
      <c r="H1051" s="5" t="s">
        <v>21</v>
      </c>
      <c r="I1051" s="5" t="s">
        <v>2782</v>
      </c>
      <c r="J1051" s="12" t="str">
        <f>HYPERLINK("https://www.boe.es/gazeta/dias/1803/04/05/pdfs/GMD-1803-27.pdf#page=11","Abrir facsímil")</f>
        <v>Abrir facsímil</v>
      </c>
      <c r="K1051" s="15" t="s">
        <v>23</v>
      </c>
    </row>
    <row r="1052" spans="1:11" ht="42" customHeight="1">
      <c r="A1052" s="4" t="s">
        <v>2783</v>
      </c>
      <c r="B1052" s="5" t="s">
        <v>2784</v>
      </c>
      <c r="C1052" s="5" t="s">
        <v>26</v>
      </c>
      <c r="D1052" s="5" t="s">
        <v>27</v>
      </c>
      <c r="E1052" s="5" t="s">
        <v>300</v>
      </c>
      <c r="F1052" s="9">
        <v>96</v>
      </c>
      <c r="G1052" s="9">
        <v>1034</v>
      </c>
      <c r="H1052" s="5" t="s">
        <v>21</v>
      </c>
      <c r="I1052" s="5" t="s">
        <v>2785</v>
      </c>
      <c r="J1052" s="12" t="str">
        <f>HYPERLINK("https://www.boe.es/gazeta/dias/1803/11/29/pdfs/GMD-1803-96.pdf#page=10","Abrir facsímil")</f>
        <v>Abrir facsímil</v>
      </c>
      <c r="K1052" s="15" t="s">
        <v>23</v>
      </c>
    </row>
    <row r="1053" spans="1:11" ht="42" customHeight="1">
      <c r="A1053" s="4" t="s">
        <v>2786</v>
      </c>
      <c r="B1053" s="5" t="s">
        <v>2787</v>
      </c>
      <c r="C1053" s="5" t="s">
        <v>80</v>
      </c>
      <c r="D1053" s="5" t="s">
        <v>81</v>
      </c>
      <c r="E1053" s="5" t="s">
        <v>332</v>
      </c>
      <c r="F1053" s="9">
        <v>11</v>
      </c>
      <c r="G1053" s="9">
        <v>112</v>
      </c>
      <c r="H1053" s="5" t="s">
        <v>21</v>
      </c>
      <c r="I1053" s="5" t="s">
        <v>2788</v>
      </c>
      <c r="J1053" s="12" t="str">
        <f>HYPERLINK("https://www.boe.es/gazeta/dias/1803/02/08/pdfs/GMD-1803-11.pdf#page=8","Abrir facsímil")</f>
        <v>Abrir facsímil</v>
      </c>
      <c r="K1053" s="15" t="s">
        <v>23</v>
      </c>
    </row>
    <row r="1054" spans="1:11" ht="42" customHeight="1">
      <c r="A1054" s="4" t="s">
        <v>2789</v>
      </c>
      <c r="B1054" s="5" t="s">
        <v>2790</v>
      </c>
      <c r="C1054" s="5" t="s">
        <v>51</v>
      </c>
      <c r="D1054" s="5" t="s">
        <v>52</v>
      </c>
      <c r="E1054" s="5" t="s">
        <v>571</v>
      </c>
      <c r="F1054" s="9">
        <v>103</v>
      </c>
      <c r="G1054" s="9">
        <v>1106</v>
      </c>
      <c r="H1054" s="5" t="s">
        <v>21</v>
      </c>
      <c r="I1054" s="5" t="s">
        <v>2791</v>
      </c>
      <c r="J1054" s="12" t="str">
        <f>HYPERLINK("https://www.boe.es/gazeta/dias/1803/12/23/pdfs/GMD-1803-103.pdf#page=6","Abrir facsímil")</f>
        <v>Abrir facsímil</v>
      </c>
      <c r="K1054" s="15" t="s">
        <v>23</v>
      </c>
    </row>
    <row r="1055" spans="1:11" ht="42" customHeight="1">
      <c r="A1055" s="4" t="s">
        <v>2792</v>
      </c>
      <c r="B1055" s="5" t="s">
        <v>2793</v>
      </c>
      <c r="C1055" s="5" t="s">
        <v>51</v>
      </c>
      <c r="D1055" s="5" t="s">
        <v>52</v>
      </c>
      <c r="E1055" s="5" t="s">
        <v>726</v>
      </c>
      <c r="F1055" s="9">
        <v>78</v>
      </c>
      <c r="G1055" s="9">
        <v>847</v>
      </c>
      <c r="H1055" s="5" t="s">
        <v>21</v>
      </c>
      <c r="I1055" s="5" t="s">
        <v>2794</v>
      </c>
      <c r="J1055" s="12" t="str">
        <f>HYPERLINK("https://www.boe.es/gazeta/dias/1803/09/27/pdfs/GMD-1803-78.pdf#page=11","Abrir facsímil")</f>
        <v>Abrir facsímil</v>
      </c>
      <c r="K1055" s="15" t="s">
        <v>23</v>
      </c>
    </row>
    <row r="1056" spans="1:11" ht="42" customHeight="1">
      <c r="A1056" s="4" t="s">
        <v>2795</v>
      </c>
      <c r="B1056" s="5" t="s">
        <v>2796</v>
      </c>
      <c r="C1056" s="5" t="s">
        <v>26</v>
      </c>
      <c r="D1056" s="5" t="s">
        <v>27</v>
      </c>
      <c r="E1056" s="5" t="s">
        <v>300</v>
      </c>
      <c r="F1056" s="9">
        <v>96</v>
      </c>
      <c r="G1056" s="9">
        <v>1033</v>
      </c>
      <c r="H1056" s="5" t="s">
        <v>21</v>
      </c>
      <c r="I1056" s="5" t="s">
        <v>2797</v>
      </c>
      <c r="J1056" s="12" t="str">
        <f>HYPERLINK("https://www.boe.es/gazeta/dias/1803/11/29/pdfs/GMD-1803-96.pdf#page=9","Abrir facsímil")</f>
        <v>Abrir facsímil</v>
      </c>
      <c r="K1056" s="15" t="s">
        <v>23</v>
      </c>
    </row>
    <row r="1057" spans="1:11" ht="42" customHeight="1">
      <c r="A1057" s="4" t="s">
        <v>2798</v>
      </c>
      <c r="B1057" s="5" t="s">
        <v>2799</v>
      </c>
      <c r="C1057" s="5" t="s">
        <v>26</v>
      </c>
      <c r="D1057" s="5" t="s">
        <v>27</v>
      </c>
      <c r="E1057" s="5" t="s">
        <v>113</v>
      </c>
      <c r="F1057" s="9">
        <v>93</v>
      </c>
      <c r="G1057" s="9">
        <v>995</v>
      </c>
      <c r="H1057" s="5" t="s">
        <v>21</v>
      </c>
      <c r="I1057" s="5" t="s">
        <v>2800</v>
      </c>
      <c r="J1057" s="12" t="str">
        <f>HYPERLINK("https://www.boe.es/gazeta/dias/1803/11/18/pdfs/GMD-1803-93.pdf#page=7","Abrir facsímil")</f>
        <v>Abrir facsímil</v>
      </c>
      <c r="K1057" s="15" t="s">
        <v>23</v>
      </c>
    </row>
    <row r="1058" spans="1:11" ht="42" customHeight="1">
      <c r="A1058" s="4" t="s">
        <v>2801</v>
      </c>
      <c r="B1058" s="5" t="s">
        <v>2802</v>
      </c>
      <c r="C1058" s="5" t="s">
        <v>46</v>
      </c>
      <c r="D1058" s="5" t="s">
        <v>19</v>
      </c>
      <c r="E1058" s="5" t="s">
        <v>189</v>
      </c>
      <c r="F1058" s="9">
        <v>9</v>
      </c>
      <c r="G1058" s="9">
        <v>94</v>
      </c>
      <c r="H1058" s="5" t="s">
        <v>21</v>
      </c>
      <c r="I1058" s="5" t="s">
        <v>2803</v>
      </c>
      <c r="J1058" s="12" t="str">
        <f>HYPERLINK("https://www.boe.es/gazeta/dias/1803/02/01/pdfs/GMD-1803-9.pdf#page=10","Abrir facsímil")</f>
        <v>Abrir facsímil</v>
      </c>
      <c r="K1058" s="15" t="s">
        <v>23</v>
      </c>
    </row>
    <row r="1059" spans="1:11" ht="42" customHeight="1">
      <c r="A1059" s="4" t="s">
        <v>2804</v>
      </c>
      <c r="B1059" s="5" t="s">
        <v>2805</v>
      </c>
      <c r="C1059" s="5" t="s">
        <v>26</v>
      </c>
      <c r="D1059" s="5" t="s">
        <v>27</v>
      </c>
      <c r="E1059" s="5" t="s">
        <v>303</v>
      </c>
      <c r="F1059" s="9">
        <v>8</v>
      </c>
      <c r="G1059" s="9">
        <v>79</v>
      </c>
      <c r="H1059" s="5" t="s">
        <v>21</v>
      </c>
      <c r="I1059" s="5" t="s">
        <v>2806</v>
      </c>
      <c r="J1059" s="12" t="str">
        <f>HYPERLINK("https://www.boe.es/gazeta/dias/1803/01/28/pdfs/GMD-1803-8.pdf#page=7","Abrir facsímil")</f>
        <v>Abrir facsímil</v>
      </c>
      <c r="K1059" s="15" t="s">
        <v>23</v>
      </c>
    </row>
    <row r="1060" spans="1:11" ht="42" customHeight="1">
      <c r="A1060" s="4" t="s">
        <v>2807</v>
      </c>
      <c r="B1060" s="5" t="s">
        <v>2808</v>
      </c>
      <c r="C1060" s="5" t="s">
        <v>26</v>
      </c>
      <c r="D1060" s="5" t="s">
        <v>27</v>
      </c>
      <c r="E1060" s="5" t="s">
        <v>278</v>
      </c>
      <c r="F1060" s="9">
        <v>46</v>
      </c>
      <c r="G1060" s="9">
        <v>487</v>
      </c>
      <c r="H1060" s="5" t="s">
        <v>21</v>
      </c>
      <c r="I1060" s="5" t="s">
        <v>2809</v>
      </c>
      <c r="J1060" s="12" t="str">
        <f>HYPERLINK("https://www.boe.es/gazeta/dias/1803/06/10/pdfs/GMD-1803-46.pdf#page=11","Abrir facsímil")</f>
        <v>Abrir facsímil</v>
      </c>
      <c r="K1060" s="15" t="s">
        <v>23</v>
      </c>
    </row>
    <row r="1061" spans="1:11" ht="42" customHeight="1">
      <c r="A1061" s="4" t="s">
        <v>2810</v>
      </c>
      <c r="B1061" s="5" t="s">
        <v>2811</v>
      </c>
      <c r="C1061" s="5" t="s">
        <v>51</v>
      </c>
      <c r="D1061" s="5" t="s">
        <v>52</v>
      </c>
      <c r="E1061" s="5" t="s">
        <v>514</v>
      </c>
      <c r="F1061" s="9">
        <v>42</v>
      </c>
      <c r="G1061" s="9">
        <v>439</v>
      </c>
      <c r="H1061" s="5" t="s">
        <v>21</v>
      </c>
      <c r="I1061" s="5" t="s">
        <v>2812</v>
      </c>
      <c r="J1061" s="12" t="str">
        <f>HYPERLINK("https://www.boe.es/gazeta/dias/1803/05/27/pdfs/GMD-1803-42.pdf#page=7","Abrir facsímil")</f>
        <v>Abrir facsímil</v>
      </c>
      <c r="K1061" s="15" t="s">
        <v>23</v>
      </c>
    </row>
    <row r="1062" spans="1:11" ht="42" customHeight="1">
      <c r="A1062" s="4" t="s">
        <v>2813</v>
      </c>
      <c r="B1062" s="5" t="s">
        <v>2814</v>
      </c>
      <c r="C1062" s="5" t="s">
        <v>26</v>
      </c>
      <c r="D1062" s="5" t="s">
        <v>27</v>
      </c>
      <c r="E1062" s="5" t="s">
        <v>88</v>
      </c>
      <c r="F1062" s="9">
        <v>18</v>
      </c>
      <c r="G1062" s="9">
        <v>187</v>
      </c>
      <c r="H1062" s="5" t="s">
        <v>21</v>
      </c>
      <c r="I1062" s="5" t="s">
        <v>2815</v>
      </c>
      <c r="J1062" s="12" t="str">
        <f>HYPERLINK("https://www.boe.es/gazeta/dias/1803/03/04/pdfs/GMD-1803-18.pdf#page=7","Abrir facsímil")</f>
        <v>Abrir facsímil</v>
      </c>
      <c r="K1062" s="15" t="s">
        <v>23</v>
      </c>
    </row>
    <row r="1063" spans="1:11" ht="42" customHeight="1">
      <c r="A1063" s="4" t="s">
        <v>2816</v>
      </c>
      <c r="B1063" s="5" t="s">
        <v>2817</v>
      </c>
      <c r="C1063" s="5" t="s">
        <v>51</v>
      </c>
      <c r="D1063" s="5" t="s">
        <v>52</v>
      </c>
      <c r="E1063" s="5" t="s">
        <v>36</v>
      </c>
      <c r="F1063" s="9">
        <v>79</v>
      </c>
      <c r="G1063" s="9">
        <v>856</v>
      </c>
      <c r="H1063" s="5" t="s">
        <v>21</v>
      </c>
      <c r="I1063" s="5" t="s">
        <v>2818</v>
      </c>
      <c r="J1063" s="12" t="str">
        <f>HYPERLINK("https://www.boe.es/gazeta/dias/1803/09/30/pdfs/GMD-1803-79.pdf#page=8","Abrir facsímil")</f>
        <v>Abrir facsímil</v>
      </c>
      <c r="K1063" s="15" t="s">
        <v>23</v>
      </c>
    </row>
    <row r="1064" spans="1:11" ht="42" customHeight="1">
      <c r="A1064" s="4" t="s">
        <v>2819</v>
      </c>
      <c r="B1064" s="5" t="s">
        <v>2820</v>
      </c>
      <c r="C1064" s="5" t="s">
        <v>51</v>
      </c>
      <c r="D1064" s="5" t="s">
        <v>52</v>
      </c>
      <c r="E1064" s="5" t="s">
        <v>303</v>
      </c>
      <c r="F1064" s="9">
        <v>8</v>
      </c>
      <c r="G1064" s="9">
        <v>79</v>
      </c>
      <c r="H1064" s="5" t="s">
        <v>21</v>
      </c>
      <c r="I1064" s="5" t="s">
        <v>2821</v>
      </c>
      <c r="J1064" s="12" t="str">
        <f>HYPERLINK("https://www.boe.es/gazeta/dias/1803/01/28/pdfs/GMD-1803-8.pdf#page=7","Abrir facsímil")</f>
        <v>Abrir facsímil</v>
      </c>
      <c r="K1064" s="15" t="s">
        <v>23</v>
      </c>
    </row>
    <row r="1065" spans="1:11" ht="42" customHeight="1">
      <c r="A1065" s="4" t="s">
        <v>2822</v>
      </c>
      <c r="B1065" s="5" t="s">
        <v>2823</v>
      </c>
      <c r="C1065" s="5" t="s">
        <v>51</v>
      </c>
      <c r="D1065" s="5" t="s">
        <v>52</v>
      </c>
      <c r="E1065" s="5" t="s">
        <v>36</v>
      </c>
      <c r="F1065" s="9">
        <v>79</v>
      </c>
      <c r="G1065" s="9">
        <v>856</v>
      </c>
      <c r="H1065" s="5" t="s">
        <v>21</v>
      </c>
      <c r="I1065" s="5" t="s">
        <v>2824</v>
      </c>
      <c r="J1065" s="12" t="str">
        <f>HYPERLINK("https://www.boe.es/gazeta/dias/1803/09/30/pdfs/GMD-1803-79.pdf#page=8","Abrir facsímil")</f>
        <v>Abrir facsímil</v>
      </c>
      <c r="K1065" s="15" t="s">
        <v>23</v>
      </c>
    </row>
    <row r="1066" spans="1:11" ht="42" customHeight="1">
      <c r="A1066" s="4" t="s">
        <v>2825</v>
      </c>
      <c r="B1066" s="5" t="s">
        <v>2826</v>
      </c>
      <c r="C1066" s="5" t="s">
        <v>80</v>
      </c>
      <c r="D1066" s="5" t="s">
        <v>81</v>
      </c>
      <c r="E1066" s="5" t="s">
        <v>630</v>
      </c>
      <c r="F1066" s="9">
        <v>85</v>
      </c>
      <c r="G1066" s="9">
        <v>920</v>
      </c>
      <c r="H1066" s="5" t="s">
        <v>21</v>
      </c>
      <c r="I1066" s="5" t="s">
        <v>2827</v>
      </c>
      <c r="J1066" s="12" t="str">
        <f>HYPERLINK("https://www.boe.es/gazeta/dias/1803/10/21/pdfs/GMD-1803-85.pdf#page=12","Abrir facsímil")</f>
        <v>Abrir facsímil</v>
      </c>
      <c r="K1066" s="15" t="s">
        <v>23</v>
      </c>
    </row>
    <row r="1067" spans="1:11" ht="42" customHeight="1">
      <c r="A1067" s="4" t="s">
        <v>2828</v>
      </c>
      <c r="B1067" s="5" t="s">
        <v>2829</v>
      </c>
      <c r="C1067" s="5" t="s">
        <v>18</v>
      </c>
      <c r="D1067" s="5" t="s">
        <v>19</v>
      </c>
      <c r="E1067" s="5" t="s">
        <v>403</v>
      </c>
      <c r="F1067" s="9">
        <v>91</v>
      </c>
      <c r="G1067" s="9">
        <v>976</v>
      </c>
      <c r="H1067" s="5" t="s">
        <v>21</v>
      </c>
      <c r="I1067" s="5" t="s">
        <v>2830</v>
      </c>
      <c r="J1067" s="12" t="str">
        <f>HYPERLINK("https://www.boe.es/gazeta/dias/1803/11/11/pdfs/GMD-1803-91.pdf#page=8","Abrir facsímil")</f>
        <v>Abrir facsímil</v>
      </c>
      <c r="K1067" s="15" t="s">
        <v>23</v>
      </c>
    </row>
    <row r="1068" spans="1:11" ht="42" customHeight="1">
      <c r="A1068" s="4" t="s">
        <v>2831</v>
      </c>
      <c r="B1068" s="5" t="s">
        <v>2832</v>
      </c>
      <c r="C1068" s="5" t="s">
        <v>26</v>
      </c>
      <c r="D1068" s="5" t="s">
        <v>27</v>
      </c>
      <c r="E1068" s="5" t="s">
        <v>71</v>
      </c>
      <c r="F1068" s="9">
        <v>39</v>
      </c>
      <c r="G1068" s="9">
        <v>413</v>
      </c>
      <c r="H1068" s="5" t="s">
        <v>21</v>
      </c>
      <c r="I1068" s="5" t="s">
        <v>2833</v>
      </c>
      <c r="J1068" s="12" t="str">
        <f>HYPERLINK("https://www.boe.es/gazeta/dias/1803/05/17/pdfs/GMD-1803-39.pdf#page=9","Abrir facsímil")</f>
        <v>Abrir facsímil</v>
      </c>
      <c r="K1068" s="15" t="s">
        <v>23</v>
      </c>
    </row>
    <row r="1069" spans="1:11" ht="42" customHeight="1">
      <c r="A1069" s="4" t="s">
        <v>2834</v>
      </c>
      <c r="B1069" s="5" t="s">
        <v>2835</v>
      </c>
      <c r="C1069" s="5" t="s">
        <v>26</v>
      </c>
      <c r="D1069" s="5" t="s">
        <v>27</v>
      </c>
      <c r="E1069" s="5" t="s">
        <v>555</v>
      </c>
      <c r="F1069" s="9">
        <v>83</v>
      </c>
      <c r="G1069" s="9">
        <v>894</v>
      </c>
      <c r="H1069" s="5" t="s">
        <v>21</v>
      </c>
      <c r="I1069" s="5" t="s">
        <v>2836</v>
      </c>
      <c r="J1069" s="12" t="str">
        <f>HYPERLINK("https://www.boe.es/gazeta/dias/1803/10/14/pdfs/GMD-1803-83.pdf#page=6","Abrir facsímil")</f>
        <v>Abrir facsímil</v>
      </c>
      <c r="K1069" s="15" t="s">
        <v>23</v>
      </c>
    </row>
    <row r="1070" spans="1:11" ht="42" customHeight="1">
      <c r="A1070" s="4" t="s">
        <v>2837</v>
      </c>
      <c r="B1070" s="5" t="s">
        <v>2838</v>
      </c>
      <c r="C1070" s="5" t="s">
        <v>26</v>
      </c>
      <c r="D1070" s="5" t="s">
        <v>27</v>
      </c>
      <c r="E1070" s="5" t="s">
        <v>1915</v>
      </c>
      <c r="F1070" s="9">
        <v>44</v>
      </c>
      <c r="G1070" s="9">
        <v>459</v>
      </c>
      <c r="H1070" s="5" t="s">
        <v>21</v>
      </c>
      <c r="I1070" s="5" t="s">
        <v>2839</v>
      </c>
      <c r="J1070" s="12" t="str">
        <f>HYPERLINK("https://www.boe.es/gazeta/dias/1803/06/03/pdfs/GMD-1803-44.pdf#page=7","Abrir facsímil")</f>
        <v>Abrir facsímil</v>
      </c>
      <c r="K1070" s="15" t="s">
        <v>23</v>
      </c>
    </row>
    <row r="1071" spans="1:11" ht="42" customHeight="1">
      <c r="A1071" s="4" t="s">
        <v>2840</v>
      </c>
      <c r="B1071" s="5" t="s">
        <v>2841</v>
      </c>
      <c r="C1071" s="5" t="s">
        <v>26</v>
      </c>
      <c r="D1071" s="5" t="s">
        <v>27</v>
      </c>
      <c r="E1071" s="5" t="s">
        <v>389</v>
      </c>
      <c r="F1071" s="9">
        <v>41</v>
      </c>
      <c r="G1071" s="9">
        <v>430</v>
      </c>
      <c r="H1071" s="5" t="s">
        <v>21</v>
      </c>
      <c r="I1071" s="5" t="s">
        <v>2842</v>
      </c>
      <c r="J1071" s="12" t="str">
        <f>HYPERLINK("https://www.boe.es/gazeta/dias/1803/05/24/pdfs/GMD-1803-41.pdf#page=6","Abrir facsímil")</f>
        <v>Abrir facsímil</v>
      </c>
      <c r="K1071" s="15" t="s">
        <v>23</v>
      </c>
    </row>
    <row r="1072" spans="1:11" ht="42" customHeight="1">
      <c r="A1072" s="4" t="s">
        <v>2843</v>
      </c>
      <c r="B1072" s="5" t="s">
        <v>2844</v>
      </c>
      <c r="C1072" s="5" t="s">
        <v>26</v>
      </c>
      <c r="D1072" s="5" t="s">
        <v>27</v>
      </c>
      <c r="E1072" s="5" t="s">
        <v>138</v>
      </c>
      <c r="F1072" s="9">
        <v>68</v>
      </c>
      <c r="G1072" s="9">
        <v>742</v>
      </c>
      <c r="H1072" s="5" t="s">
        <v>21</v>
      </c>
      <c r="I1072" s="5" t="s">
        <v>2845</v>
      </c>
      <c r="J1072" s="12" t="str">
        <f>HYPERLINK("https://www.boe.es/gazeta/dias/1803/08/26/pdfs/GMD-1803-68.pdf#page=10","Abrir facsímil")</f>
        <v>Abrir facsímil</v>
      </c>
      <c r="K1072" s="15" t="s">
        <v>23</v>
      </c>
    </row>
    <row r="1073" spans="1:11" ht="42" customHeight="1">
      <c r="A1073" s="4" t="s">
        <v>2846</v>
      </c>
      <c r="B1073" s="5" t="s">
        <v>2847</v>
      </c>
      <c r="C1073" s="5" t="s">
        <v>26</v>
      </c>
      <c r="D1073" s="5" t="s">
        <v>27</v>
      </c>
      <c r="E1073" s="5" t="s">
        <v>272</v>
      </c>
      <c r="F1073" s="9">
        <v>25</v>
      </c>
      <c r="G1073" s="9">
        <v>266</v>
      </c>
      <c r="H1073" s="5" t="s">
        <v>21</v>
      </c>
      <c r="I1073" s="5" t="s">
        <v>2848</v>
      </c>
      <c r="J1073" s="12" t="str">
        <f>HYPERLINK("https://www.boe.es/gazeta/dias/1803/03/29/pdfs/GMD-1803-25.pdf#page=6","Abrir facsímil")</f>
        <v>Abrir facsímil</v>
      </c>
      <c r="K1073" s="15" t="s">
        <v>23</v>
      </c>
    </row>
    <row r="1074" spans="1:11" ht="42" customHeight="1">
      <c r="A1074" s="4" t="s">
        <v>2849</v>
      </c>
      <c r="B1074" s="5" t="s">
        <v>2850</v>
      </c>
      <c r="C1074" s="5" t="s">
        <v>26</v>
      </c>
      <c r="D1074" s="5" t="s">
        <v>27</v>
      </c>
      <c r="E1074" s="5" t="s">
        <v>910</v>
      </c>
      <c r="F1074" s="9">
        <v>66</v>
      </c>
      <c r="G1074" s="9">
        <v>719</v>
      </c>
      <c r="H1074" s="5" t="s">
        <v>21</v>
      </c>
      <c r="I1074" s="5" t="s">
        <v>2851</v>
      </c>
      <c r="J1074" s="12" t="str">
        <f>HYPERLINK("https://www.boe.es/gazeta/dias/1803/08/19/pdfs/GMD-1803-66.pdf#page=7","Abrir facsímil")</f>
        <v>Abrir facsímil</v>
      </c>
      <c r="K1074" s="15" t="s">
        <v>23</v>
      </c>
    </row>
    <row r="1075" spans="1:11" ht="42" customHeight="1">
      <c r="A1075" s="4" t="s">
        <v>2852</v>
      </c>
      <c r="B1075" s="5" t="s">
        <v>2853</v>
      </c>
      <c r="C1075" s="5" t="s">
        <v>26</v>
      </c>
      <c r="D1075" s="5" t="s">
        <v>27</v>
      </c>
      <c r="E1075" s="5" t="s">
        <v>71</v>
      </c>
      <c r="F1075" s="9">
        <v>39</v>
      </c>
      <c r="G1075" s="9">
        <v>415</v>
      </c>
      <c r="H1075" s="5" t="s">
        <v>21</v>
      </c>
      <c r="I1075" s="5" t="s">
        <v>2854</v>
      </c>
      <c r="J1075" s="12" t="str">
        <f>HYPERLINK("https://www.boe.es/gazeta/dias/1803/05/17/pdfs/GMD-1803-39.pdf#page=11","Abrir facsímil")</f>
        <v>Abrir facsímil</v>
      </c>
      <c r="K1075" s="15" t="s">
        <v>23</v>
      </c>
    </row>
    <row r="1076" spans="1:11" ht="42" customHeight="1">
      <c r="A1076" s="4" t="s">
        <v>2855</v>
      </c>
      <c r="B1076" s="5" t="s">
        <v>2856</v>
      </c>
      <c r="C1076" s="5" t="s">
        <v>40</v>
      </c>
      <c r="D1076" s="5" t="s">
        <v>41</v>
      </c>
      <c r="E1076" s="5" t="s">
        <v>784</v>
      </c>
      <c r="F1076" s="9">
        <v>86</v>
      </c>
      <c r="G1076" s="9">
        <v>929</v>
      </c>
      <c r="H1076" s="5" t="s">
        <v>21</v>
      </c>
      <c r="I1076" s="5" t="s">
        <v>2857</v>
      </c>
      <c r="J1076" s="12" t="str">
        <f>HYPERLINK("https://www.boe.es/gazeta/dias/1803/10/25/pdfs/GMD-1803-86.pdf#page=9","Abrir facsímil")</f>
        <v>Abrir facsímil</v>
      </c>
      <c r="K1076" s="15" t="s">
        <v>23</v>
      </c>
    </row>
    <row r="1077" spans="1:11" ht="42" customHeight="1">
      <c r="A1077" s="4" t="s">
        <v>2858</v>
      </c>
      <c r="B1077" s="5" t="s">
        <v>2859</v>
      </c>
      <c r="C1077" s="5" t="s">
        <v>26</v>
      </c>
      <c r="D1077" s="5" t="s">
        <v>27</v>
      </c>
      <c r="E1077" s="5" t="s">
        <v>83</v>
      </c>
      <c r="F1077" s="9">
        <v>28</v>
      </c>
      <c r="G1077" s="9">
        <v>303</v>
      </c>
      <c r="H1077" s="5" t="s">
        <v>21</v>
      </c>
      <c r="I1077" s="5" t="s">
        <v>2860</v>
      </c>
      <c r="J1077" s="12" t="str">
        <f>HYPERLINK("https://www.boe.es/gazeta/dias/1803/04/08/pdfs/GMD-1803-28.pdf#page=7","Abrir facsímil")</f>
        <v>Abrir facsímil</v>
      </c>
      <c r="K1077" s="15" t="s">
        <v>23</v>
      </c>
    </row>
    <row r="1078" spans="1:11" ht="42" customHeight="1">
      <c r="A1078" s="4" t="s">
        <v>2861</v>
      </c>
      <c r="B1078" s="5" t="s">
        <v>2862</v>
      </c>
      <c r="C1078" s="5" t="s">
        <v>46</v>
      </c>
      <c r="D1078" s="5" t="s">
        <v>19</v>
      </c>
      <c r="E1078" s="5" t="s">
        <v>138</v>
      </c>
      <c r="F1078" s="9">
        <v>68</v>
      </c>
      <c r="G1078" s="9">
        <v>743</v>
      </c>
      <c r="H1078" s="5" t="s">
        <v>21</v>
      </c>
      <c r="I1078" s="5" t="s">
        <v>2863</v>
      </c>
      <c r="J1078" s="12" t="str">
        <f>HYPERLINK("https://www.boe.es/gazeta/dias/1803/08/26/pdfs/GMD-1803-68.pdf#page=11","Abrir facsímil")</f>
        <v>Abrir facsímil</v>
      </c>
      <c r="K1078" s="15" t="s">
        <v>23</v>
      </c>
    </row>
    <row r="1079" spans="1:11" ht="42" customHeight="1">
      <c r="A1079" s="4" t="s">
        <v>2864</v>
      </c>
      <c r="B1079" s="5" t="s">
        <v>2865</v>
      </c>
      <c r="C1079" s="5" t="s">
        <v>46</v>
      </c>
      <c r="D1079" s="5" t="s">
        <v>19</v>
      </c>
      <c r="E1079" s="5" t="s">
        <v>231</v>
      </c>
      <c r="F1079" s="9">
        <v>26</v>
      </c>
      <c r="G1079" s="9">
        <v>283</v>
      </c>
      <c r="H1079" s="5" t="s">
        <v>21</v>
      </c>
      <c r="I1079" s="5" t="s">
        <v>2866</v>
      </c>
      <c r="J1079" s="12" t="str">
        <f>HYPERLINK("https://www.boe.es/gazeta/dias/1803/04/01/pdfs/GMD-1803-26.pdf#page=11","Abrir facsímil")</f>
        <v>Abrir facsímil</v>
      </c>
      <c r="K1079" s="15" t="s">
        <v>23</v>
      </c>
    </row>
    <row r="1080" spans="1:11" ht="42" customHeight="1">
      <c r="A1080" s="4" t="s">
        <v>2867</v>
      </c>
      <c r="B1080" s="5" t="s">
        <v>2868</v>
      </c>
      <c r="C1080" s="5" t="s">
        <v>18</v>
      </c>
      <c r="D1080" s="5" t="s">
        <v>19</v>
      </c>
      <c r="E1080" s="5" t="s">
        <v>967</v>
      </c>
      <c r="F1080" s="9">
        <v>35</v>
      </c>
      <c r="G1080" s="9">
        <v>367</v>
      </c>
      <c r="H1080" s="5" t="s">
        <v>21</v>
      </c>
      <c r="I1080" s="5" t="s">
        <v>2869</v>
      </c>
      <c r="J1080" s="12" t="str">
        <f>HYPERLINK("https://www.boe.es/gazeta/dias/1803/05/03/pdfs/GMD-1803-35.pdf#page=7","Abrir facsímil")</f>
        <v>Abrir facsímil</v>
      </c>
      <c r="K1080" s="15" t="s">
        <v>23</v>
      </c>
    </row>
    <row r="1081" spans="1:11" ht="42" customHeight="1">
      <c r="A1081" s="4" t="s">
        <v>2870</v>
      </c>
      <c r="B1081" s="5" t="s">
        <v>2871</v>
      </c>
      <c r="C1081" s="5" t="s">
        <v>51</v>
      </c>
      <c r="D1081" s="5" t="s">
        <v>52</v>
      </c>
      <c r="E1081" s="5" t="s">
        <v>919</v>
      </c>
      <c r="F1081" s="9">
        <v>69</v>
      </c>
      <c r="G1081" s="9">
        <v>749</v>
      </c>
      <c r="H1081" s="5" t="s">
        <v>21</v>
      </c>
      <c r="I1081" s="5" t="s">
        <v>2872</v>
      </c>
      <c r="J1081" s="12" t="str">
        <f>HYPERLINK("https://www.boe.es/gazeta/dias/1803/08/30/pdfs/GMD-1803-69.pdf#page=5","Abrir facsímil")</f>
        <v>Abrir facsímil</v>
      </c>
      <c r="K1081" s="15" t="s">
        <v>23</v>
      </c>
    </row>
    <row r="1082" spans="1:11" ht="42" customHeight="1">
      <c r="A1082" s="4" t="s">
        <v>2873</v>
      </c>
      <c r="B1082" s="5" t="s">
        <v>2874</v>
      </c>
      <c r="C1082" s="5" t="s">
        <v>80</v>
      </c>
      <c r="D1082" s="5" t="s">
        <v>81</v>
      </c>
      <c r="E1082" s="5" t="s">
        <v>293</v>
      </c>
      <c r="F1082" s="9">
        <v>45</v>
      </c>
      <c r="G1082" s="9">
        <v>475</v>
      </c>
      <c r="H1082" s="5" t="s">
        <v>21</v>
      </c>
      <c r="I1082" s="5" t="s">
        <v>2875</v>
      </c>
      <c r="J1082" s="12" t="str">
        <f>HYPERLINK("https://www.boe.es/gazeta/dias/1803/06/07/pdfs/GMD-1803-45.pdf#page=11","Abrir facsímil")</f>
        <v>Abrir facsímil</v>
      </c>
      <c r="K1082" s="15" t="s">
        <v>23</v>
      </c>
    </row>
    <row r="1083" spans="1:11" ht="42" customHeight="1">
      <c r="A1083" s="4" t="s">
        <v>2876</v>
      </c>
      <c r="B1083" s="5" t="s">
        <v>2877</v>
      </c>
      <c r="C1083" s="5" t="s">
        <v>18</v>
      </c>
      <c r="D1083" s="5" t="s">
        <v>19</v>
      </c>
      <c r="E1083" s="5" t="s">
        <v>174</v>
      </c>
      <c r="F1083" s="9">
        <v>21</v>
      </c>
      <c r="G1083" s="9">
        <v>223</v>
      </c>
      <c r="H1083" s="5" t="s">
        <v>21</v>
      </c>
      <c r="I1083" s="5" t="s">
        <v>2878</v>
      </c>
      <c r="J1083" s="12" t="str">
        <f>HYPERLINK("https://www.boe.es/gazeta/dias/1803/03/15/pdfs/GMD-1803-21.pdf#page=7","Abrir facsímil")</f>
        <v>Abrir facsímil</v>
      </c>
      <c r="K1083" s="15" t="s">
        <v>23</v>
      </c>
    </row>
    <row r="1084" spans="1:11" ht="42" customHeight="1">
      <c r="A1084" s="4" t="s">
        <v>2879</v>
      </c>
      <c r="B1084" s="5" t="s">
        <v>2880</v>
      </c>
      <c r="C1084" s="5" t="s">
        <v>26</v>
      </c>
      <c r="D1084" s="5" t="s">
        <v>27</v>
      </c>
      <c r="E1084" s="5" t="s">
        <v>174</v>
      </c>
      <c r="F1084" s="9">
        <v>21</v>
      </c>
      <c r="G1084" s="9">
        <v>223</v>
      </c>
      <c r="H1084" s="5" t="s">
        <v>21</v>
      </c>
      <c r="I1084" s="5" t="s">
        <v>2881</v>
      </c>
      <c r="J1084" s="12" t="str">
        <f>HYPERLINK("https://www.boe.es/gazeta/dias/1803/03/15/pdfs/GMD-1803-21.pdf#page=7","Abrir facsímil")</f>
        <v>Abrir facsímil</v>
      </c>
      <c r="K1084" s="15" t="s">
        <v>23</v>
      </c>
    </row>
    <row r="1085" spans="1:11" ht="42" customHeight="1">
      <c r="A1085" s="4" t="s">
        <v>2882</v>
      </c>
      <c r="B1085" s="5" t="s">
        <v>2883</v>
      </c>
      <c r="C1085" s="5" t="s">
        <v>18</v>
      </c>
      <c r="D1085" s="5" t="s">
        <v>19</v>
      </c>
      <c r="E1085" s="5" t="s">
        <v>588</v>
      </c>
      <c r="F1085" s="9">
        <v>63</v>
      </c>
      <c r="G1085" s="9">
        <v>687</v>
      </c>
      <c r="H1085" s="5" t="s">
        <v>21</v>
      </c>
      <c r="I1085" s="5" t="s">
        <v>2884</v>
      </c>
      <c r="J1085" s="12" t="str">
        <f>HYPERLINK("https://www.boe.es/gazeta/dias/1803/08/09/pdfs/GMD-1803-63.pdf#page=7","Abrir facsímil")</f>
        <v>Abrir facsímil</v>
      </c>
      <c r="K1085" s="15" t="s">
        <v>23</v>
      </c>
    </row>
    <row r="1086" spans="1:11" ht="42" customHeight="1">
      <c r="A1086" s="4" t="s">
        <v>2885</v>
      </c>
      <c r="B1086" s="5" t="s">
        <v>2886</v>
      </c>
      <c r="C1086" s="5" t="s">
        <v>26</v>
      </c>
      <c r="D1086" s="5" t="s">
        <v>27</v>
      </c>
      <c r="E1086" s="5" t="s">
        <v>75</v>
      </c>
      <c r="F1086" s="9">
        <v>56</v>
      </c>
      <c r="G1086" s="9">
        <v>611</v>
      </c>
      <c r="H1086" s="5" t="s">
        <v>21</v>
      </c>
      <c r="I1086" s="5" t="s">
        <v>2887</v>
      </c>
      <c r="J1086" s="12" t="str">
        <f>HYPERLINK("https://www.boe.es/gazeta/dias/1803/07/15/pdfs/GMD-1803-56.pdf#page=7","Abrir facsímil")</f>
        <v>Abrir facsímil</v>
      </c>
      <c r="K1086" s="15" t="s">
        <v>23</v>
      </c>
    </row>
    <row r="1087" spans="1:11" ht="42" customHeight="1">
      <c r="A1087" s="4" t="s">
        <v>2888</v>
      </c>
      <c r="B1087" s="5" t="s">
        <v>2889</v>
      </c>
      <c r="C1087" s="5" t="s">
        <v>18</v>
      </c>
      <c r="D1087" s="5" t="s">
        <v>19</v>
      </c>
      <c r="E1087" s="5" t="s">
        <v>278</v>
      </c>
      <c r="F1087" s="9">
        <v>46</v>
      </c>
      <c r="G1087" s="9">
        <v>485</v>
      </c>
      <c r="H1087" s="5" t="s">
        <v>21</v>
      </c>
      <c r="I1087" s="5" t="s">
        <v>2890</v>
      </c>
      <c r="J1087" s="12" t="str">
        <f>HYPERLINK("https://www.boe.es/gazeta/dias/1803/06/10/pdfs/GMD-1803-46.pdf#page=9","Abrir facsímil")</f>
        <v>Abrir facsímil</v>
      </c>
      <c r="K1087" s="15" t="s">
        <v>23</v>
      </c>
    </row>
    <row r="1088" spans="1:11" ht="42" customHeight="1">
      <c r="A1088" s="4" t="s">
        <v>2891</v>
      </c>
      <c r="B1088" s="5" t="s">
        <v>2892</v>
      </c>
      <c r="C1088" s="5" t="s">
        <v>51</v>
      </c>
      <c r="D1088" s="5" t="s">
        <v>52</v>
      </c>
      <c r="E1088" s="5" t="s">
        <v>174</v>
      </c>
      <c r="F1088" s="9">
        <v>21</v>
      </c>
      <c r="G1088" s="9">
        <v>228</v>
      </c>
      <c r="H1088" s="5" t="s">
        <v>21</v>
      </c>
      <c r="I1088" s="5" t="s">
        <v>2893</v>
      </c>
      <c r="J1088" s="12" t="str">
        <f>HYPERLINK("https://www.boe.es/gazeta/dias/1803/03/15/pdfs/GMD-1803-21.pdf#page=12","Abrir facsímil")</f>
        <v>Abrir facsímil</v>
      </c>
      <c r="K1088" s="15" t="s">
        <v>23</v>
      </c>
    </row>
    <row r="1089" spans="1:11" ht="42" customHeight="1">
      <c r="A1089" s="4" t="s">
        <v>2894</v>
      </c>
      <c r="B1089" s="5" t="s">
        <v>2895</v>
      </c>
      <c r="C1089" s="5" t="s">
        <v>26</v>
      </c>
      <c r="D1089" s="5" t="s">
        <v>27</v>
      </c>
      <c r="E1089" s="5" t="s">
        <v>61</v>
      </c>
      <c r="F1089" s="9">
        <v>67</v>
      </c>
      <c r="G1089" s="9">
        <v>729</v>
      </c>
      <c r="H1089" s="5" t="s">
        <v>21</v>
      </c>
      <c r="I1089" s="5" t="s">
        <v>2896</v>
      </c>
      <c r="J1089" s="12" t="str">
        <f>HYPERLINK("https://www.boe.es/gazeta/dias/1803/08/23/pdfs/GMD-1803-67.pdf#page=9","Abrir facsímil")</f>
        <v>Abrir facsímil</v>
      </c>
      <c r="K1089" s="15" t="s">
        <v>23</v>
      </c>
    </row>
    <row r="1090" spans="1:11" ht="42" customHeight="1">
      <c r="A1090" s="4" t="s">
        <v>2897</v>
      </c>
      <c r="B1090" s="5" t="s">
        <v>2898</v>
      </c>
      <c r="C1090" s="5" t="s">
        <v>51</v>
      </c>
      <c r="D1090" s="5" t="s">
        <v>52</v>
      </c>
      <c r="E1090" s="5" t="s">
        <v>882</v>
      </c>
      <c r="F1090" s="9">
        <v>60</v>
      </c>
      <c r="G1090" s="9">
        <v>657</v>
      </c>
      <c r="H1090" s="5" t="s">
        <v>21</v>
      </c>
      <c r="I1090" s="5" t="s">
        <v>2899</v>
      </c>
      <c r="J1090" s="12" t="str">
        <f>HYPERLINK("https://www.boe.es/gazeta/dias/1803/07/29/pdfs/GMD-1803-60.pdf#page=9","Abrir facsímil")</f>
        <v>Abrir facsímil</v>
      </c>
      <c r="K1090" s="15" t="s">
        <v>23</v>
      </c>
    </row>
    <row r="1091" spans="1:11" ht="42" customHeight="1">
      <c r="A1091" s="4" t="s">
        <v>2900</v>
      </c>
      <c r="B1091" s="5" t="s">
        <v>2901</v>
      </c>
      <c r="C1091" s="5" t="s">
        <v>51</v>
      </c>
      <c r="D1091" s="5" t="s">
        <v>52</v>
      </c>
      <c r="E1091" s="5" t="s">
        <v>68</v>
      </c>
      <c r="F1091" s="9">
        <v>23</v>
      </c>
      <c r="G1091" s="9">
        <v>247</v>
      </c>
      <c r="H1091" s="5" t="s">
        <v>21</v>
      </c>
      <c r="I1091" s="5" t="s">
        <v>2902</v>
      </c>
      <c r="J1091" s="12" t="str">
        <f>HYPERLINK("https://www.boe.es/gazeta/dias/1803/03/22/pdfs/GMD-1803-23.pdf#page=7","Abrir facsímil")</f>
        <v>Abrir facsímil</v>
      </c>
      <c r="K1091" s="15" t="s">
        <v>23</v>
      </c>
    </row>
    <row r="1092" spans="1:11" ht="42" customHeight="1">
      <c r="A1092" s="4" t="s">
        <v>2903</v>
      </c>
      <c r="B1092" s="5" t="s">
        <v>2904</v>
      </c>
      <c r="C1092" s="5" t="s">
        <v>18</v>
      </c>
      <c r="D1092" s="5" t="s">
        <v>19</v>
      </c>
      <c r="E1092" s="5" t="s">
        <v>509</v>
      </c>
      <c r="F1092" s="9">
        <v>6</v>
      </c>
      <c r="G1092" s="9">
        <v>55</v>
      </c>
      <c r="H1092" s="5" t="s">
        <v>21</v>
      </c>
      <c r="I1092" s="5" t="s">
        <v>2905</v>
      </c>
      <c r="J1092" s="12" t="str">
        <f>HYPERLINK("https://www.boe.es/gazeta/dias/1803/01/21/pdfs/GMD-1803-6.pdf#page=7","Abrir facsímil")</f>
        <v>Abrir facsímil</v>
      </c>
      <c r="K1092" s="15" t="s">
        <v>23</v>
      </c>
    </row>
    <row r="1093" spans="1:11" ht="42" customHeight="1">
      <c r="A1093" s="4" t="s">
        <v>2906</v>
      </c>
      <c r="B1093" s="5" t="s">
        <v>2907</v>
      </c>
      <c r="C1093" s="5" t="s">
        <v>26</v>
      </c>
      <c r="D1093" s="5" t="s">
        <v>27</v>
      </c>
      <c r="E1093" s="5" t="s">
        <v>657</v>
      </c>
      <c r="F1093" s="9">
        <v>24</v>
      </c>
      <c r="G1093" s="9">
        <v>256</v>
      </c>
      <c r="H1093" s="5" t="s">
        <v>21</v>
      </c>
      <c r="I1093" s="5" t="s">
        <v>2908</v>
      </c>
      <c r="J1093" s="12" t="str">
        <f>HYPERLINK("https://www.boe.es/gazeta/dias/1803/03/25/pdfs/GMD-1803-24.pdf#page=8","Abrir facsímil")</f>
        <v>Abrir facsímil</v>
      </c>
      <c r="K1093" s="15" t="s">
        <v>23</v>
      </c>
    </row>
    <row r="1094" spans="1:11" ht="42" customHeight="1">
      <c r="A1094" s="4" t="s">
        <v>2909</v>
      </c>
      <c r="B1094" s="5" t="s">
        <v>2910</v>
      </c>
      <c r="C1094" s="5" t="s">
        <v>26</v>
      </c>
      <c r="D1094" s="5" t="s">
        <v>27</v>
      </c>
      <c r="E1094" s="5" t="s">
        <v>258</v>
      </c>
      <c r="F1094" s="9">
        <v>7</v>
      </c>
      <c r="G1094" s="9">
        <v>70</v>
      </c>
      <c r="H1094" s="5" t="s">
        <v>21</v>
      </c>
      <c r="I1094" s="5" t="s">
        <v>2911</v>
      </c>
      <c r="J1094" s="12" t="str">
        <f>HYPERLINK("https://www.boe.es/gazeta/dias/1803/01/25/pdfs/GMD-1803-7.pdf#page=10","Abrir facsímil")</f>
        <v>Abrir facsímil</v>
      </c>
      <c r="K1094" s="15" t="s">
        <v>23</v>
      </c>
    </row>
    <row r="1095" spans="1:11" ht="42" customHeight="1">
      <c r="A1095" s="4" t="s">
        <v>2912</v>
      </c>
      <c r="B1095" s="5" t="s">
        <v>2913</v>
      </c>
      <c r="C1095" s="5" t="s">
        <v>46</v>
      </c>
      <c r="D1095" s="5" t="s">
        <v>19</v>
      </c>
      <c r="E1095" s="5" t="s">
        <v>501</v>
      </c>
      <c r="F1095" s="9">
        <v>22</v>
      </c>
      <c r="G1095" s="9">
        <v>239</v>
      </c>
      <c r="H1095" s="5" t="s">
        <v>21</v>
      </c>
      <c r="I1095" s="5" t="s">
        <v>2914</v>
      </c>
      <c r="J1095" s="12" t="str">
        <f>HYPERLINK("https://www.boe.es/gazeta/dias/1803/03/18/pdfs/GMD-1803-22.pdf#page=11","Abrir facsímil")</f>
        <v>Abrir facsímil</v>
      </c>
      <c r="K1095" s="15" t="s">
        <v>23</v>
      </c>
    </row>
    <row r="1096" spans="1:11" ht="42" customHeight="1">
      <c r="A1096" s="4" t="s">
        <v>2912</v>
      </c>
      <c r="B1096" s="5" t="s">
        <v>2913</v>
      </c>
      <c r="C1096" s="5" t="s">
        <v>26</v>
      </c>
      <c r="D1096" s="5" t="s">
        <v>27</v>
      </c>
      <c r="E1096" s="5" t="s">
        <v>606</v>
      </c>
      <c r="F1096" s="9">
        <v>47</v>
      </c>
      <c r="G1096" s="9">
        <v>499</v>
      </c>
      <c r="H1096" s="5" t="s">
        <v>21</v>
      </c>
      <c r="I1096" s="5" t="s">
        <v>2915</v>
      </c>
      <c r="J1096" s="12" t="str">
        <f>HYPERLINK("https://www.boe.es/gazeta/dias/1803/06/14/pdfs/GMD-1803-47.pdf#page=11","Abrir facsímil")</f>
        <v>Abrir facsímil</v>
      </c>
      <c r="K1096" s="15" t="s">
        <v>23</v>
      </c>
    </row>
    <row r="1097" spans="1:11" ht="42" customHeight="1">
      <c r="A1097" s="4" t="s">
        <v>2912</v>
      </c>
      <c r="B1097" s="5" t="s">
        <v>2913</v>
      </c>
      <c r="C1097" s="5" t="s">
        <v>46</v>
      </c>
      <c r="D1097" s="5" t="s">
        <v>19</v>
      </c>
      <c r="E1097" s="5" t="s">
        <v>85</v>
      </c>
      <c r="F1097" s="9">
        <v>49</v>
      </c>
      <c r="G1097" s="9">
        <v>523</v>
      </c>
      <c r="H1097" s="5" t="s">
        <v>21</v>
      </c>
      <c r="I1097" s="5" t="s">
        <v>2916</v>
      </c>
      <c r="J1097" s="12" t="str">
        <f>HYPERLINK("https://www.boe.es/gazeta/dias/1803/06/21/pdfs/GMD-1803-49.pdf#page=11","Abrir facsímil")</f>
        <v>Abrir facsímil</v>
      </c>
      <c r="K1097" s="15" t="s">
        <v>23</v>
      </c>
    </row>
    <row r="1098" spans="1:11" ht="42" customHeight="1">
      <c r="A1098" s="4" t="s">
        <v>2912</v>
      </c>
      <c r="B1098" s="5" t="s">
        <v>2913</v>
      </c>
      <c r="C1098" s="5" t="s">
        <v>18</v>
      </c>
      <c r="D1098" s="5" t="s">
        <v>19</v>
      </c>
      <c r="E1098" s="5" t="s">
        <v>361</v>
      </c>
      <c r="F1098" s="9">
        <v>62</v>
      </c>
      <c r="G1098" s="9">
        <v>679</v>
      </c>
      <c r="H1098" s="5" t="s">
        <v>21</v>
      </c>
      <c r="I1098" s="5" t="s">
        <v>2917</v>
      </c>
      <c r="J1098" s="12" t="str">
        <f>HYPERLINK("https://www.boe.es/gazeta/dias/1803/08/05/pdfs/GMD-1803-62.pdf#page=11","Abrir facsímil")</f>
        <v>Abrir facsímil</v>
      </c>
      <c r="K1098" s="15" t="s">
        <v>23</v>
      </c>
    </row>
    <row r="1099" spans="1:11" ht="42" customHeight="1">
      <c r="A1099" s="4" t="s">
        <v>2912</v>
      </c>
      <c r="B1099" s="5" t="s">
        <v>2913</v>
      </c>
      <c r="C1099" s="5" t="s">
        <v>18</v>
      </c>
      <c r="D1099" s="5" t="s">
        <v>19</v>
      </c>
      <c r="E1099" s="5" t="s">
        <v>77</v>
      </c>
      <c r="F1099" s="9">
        <v>64</v>
      </c>
      <c r="G1099" s="9">
        <v>700</v>
      </c>
      <c r="H1099" s="5" t="s">
        <v>21</v>
      </c>
      <c r="I1099" s="5" t="s">
        <v>2918</v>
      </c>
      <c r="J1099" s="12" t="str">
        <f>HYPERLINK("https://www.boe.es/gazeta/dias/1803/08/12/pdfs/GMD-1803-64.pdf#page=8","Abrir facsímil")</f>
        <v>Abrir facsímil</v>
      </c>
      <c r="K1099" s="15" t="s">
        <v>23</v>
      </c>
    </row>
    <row r="1100" spans="1:11" ht="42" customHeight="1">
      <c r="A1100" s="4" t="s">
        <v>2919</v>
      </c>
      <c r="B1100" s="5" t="s">
        <v>2920</v>
      </c>
      <c r="C1100" s="5" t="s">
        <v>26</v>
      </c>
      <c r="D1100" s="5" t="s">
        <v>27</v>
      </c>
      <c r="E1100" s="5" t="s">
        <v>218</v>
      </c>
      <c r="F1100" s="9">
        <v>19</v>
      </c>
      <c r="G1100" s="9">
        <v>202</v>
      </c>
      <c r="H1100" s="5" t="s">
        <v>21</v>
      </c>
      <c r="I1100" s="5" t="s">
        <v>2921</v>
      </c>
      <c r="J1100" s="12" t="str">
        <f>HYPERLINK("https://www.boe.es/gazeta/dias/1803/03/08/pdfs/GMD-1803-19.pdf#page=10","Abrir facsímil")</f>
        <v>Abrir facsímil</v>
      </c>
      <c r="K1100" s="15" t="s">
        <v>23</v>
      </c>
    </row>
    <row r="1101" spans="1:11" ht="42" customHeight="1">
      <c r="A1101" s="4" t="s">
        <v>2922</v>
      </c>
      <c r="B1101" s="5" t="s">
        <v>2923</v>
      </c>
      <c r="C1101" s="5" t="s">
        <v>51</v>
      </c>
      <c r="D1101" s="5" t="s">
        <v>52</v>
      </c>
      <c r="E1101" s="5" t="s">
        <v>218</v>
      </c>
      <c r="F1101" s="9">
        <v>19</v>
      </c>
      <c r="G1101" s="9">
        <v>203</v>
      </c>
      <c r="H1101" s="5" t="s">
        <v>21</v>
      </c>
      <c r="I1101" s="5" t="s">
        <v>2924</v>
      </c>
      <c r="J1101" s="12" t="str">
        <f>HYPERLINK("https://www.boe.es/gazeta/dias/1803/03/08/pdfs/GMD-1803-19.pdf#page=11","Abrir facsímil")</f>
        <v>Abrir facsímil</v>
      </c>
      <c r="K1101" s="15" t="s">
        <v>23</v>
      </c>
    </row>
    <row r="1102" spans="1:11" ht="42" customHeight="1">
      <c r="A1102" s="4" t="s">
        <v>2922</v>
      </c>
      <c r="B1102" s="5" t="s">
        <v>2923</v>
      </c>
      <c r="C1102" s="5" t="s">
        <v>26</v>
      </c>
      <c r="D1102" s="5" t="s">
        <v>27</v>
      </c>
      <c r="E1102" s="5" t="s">
        <v>36</v>
      </c>
      <c r="F1102" s="9">
        <v>79</v>
      </c>
      <c r="G1102" s="9">
        <v>854</v>
      </c>
      <c r="H1102" s="5" t="s">
        <v>21</v>
      </c>
      <c r="I1102" s="5" t="s">
        <v>2925</v>
      </c>
      <c r="J1102" s="12" t="str">
        <f>HYPERLINK("https://www.boe.es/gazeta/dias/1803/09/30/pdfs/GMD-1803-79.pdf#page=6","Abrir facsímil")</f>
        <v>Abrir facsímil</v>
      </c>
      <c r="K1102" s="15" t="s">
        <v>23</v>
      </c>
    </row>
    <row r="1103" spans="1:11" ht="42" customHeight="1">
      <c r="A1103" s="4" t="s">
        <v>2926</v>
      </c>
      <c r="B1103" s="5" t="s">
        <v>2927</v>
      </c>
      <c r="C1103" s="5" t="s">
        <v>26</v>
      </c>
      <c r="D1103" s="5" t="s">
        <v>27</v>
      </c>
      <c r="E1103" s="5" t="s">
        <v>258</v>
      </c>
      <c r="F1103" s="9">
        <v>7</v>
      </c>
      <c r="G1103" s="9">
        <v>70</v>
      </c>
      <c r="H1103" s="5" t="s">
        <v>21</v>
      </c>
      <c r="I1103" s="5" t="s">
        <v>2928</v>
      </c>
      <c r="J1103" s="12" t="str">
        <f>HYPERLINK("https://www.boe.es/gazeta/dias/1803/01/25/pdfs/GMD-1803-7.pdf#page=10","Abrir facsímil")</f>
        <v>Abrir facsímil</v>
      </c>
      <c r="K1103" s="15" t="s">
        <v>23</v>
      </c>
    </row>
    <row r="1104" spans="1:11" ht="42" customHeight="1">
      <c r="A1104" s="4" t="s">
        <v>2929</v>
      </c>
      <c r="B1104" s="5" t="s">
        <v>2930</v>
      </c>
      <c r="C1104" s="5" t="s">
        <v>26</v>
      </c>
      <c r="D1104" s="5" t="s">
        <v>27</v>
      </c>
      <c r="E1104" s="5" t="s">
        <v>555</v>
      </c>
      <c r="F1104" s="9">
        <v>83</v>
      </c>
      <c r="G1104" s="9">
        <v>894</v>
      </c>
      <c r="H1104" s="5" t="s">
        <v>21</v>
      </c>
      <c r="I1104" s="5" t="s">
        <v>2931</v>
      </c>
      <c r="J1104" s="12" t="str">
        <f>HYPERLINK("https://www.boe.es/gazeta/dias/1803/10/14/pdfs/GMD-1803-83.pdf#page=6","Abrir facsímil")</f>
        <v>Abrir facsímil</v>
      </c>
      <c r="K1104" s="15" t="s">
        <v>23</v>
      </c>
    </row>
    <row r="1105" spans="1:11" ht="42" customHeight="1">
      <c r="A1105" s="4" t="s">
        <v>2932</v>
      </c>
      <c r="B1105" s="5" t="s">
        <v>2933</v>
      </c>
      <c r="C1105" s="5" t="s">
        <v>26</v>
      </c>
      <c r="D1105" s="5" t="s">
        <v>27</v>
      </c>
      <c r="E1105" s="5" t="s">
        <v>501</v>
      </c>
      <c r="F1105" s="9">
        <v>22</v>
      </c>
      <c r="G1105" s="9">
        <v>238</v>
      </c>
      <c r="H1105" s="5" t="s">
        <v>21</v>
      </c>
      <c r="I1105" s="5" t="s">
        <v>2934</v>
      </c>
      <c r="J1105" s="12" t="str">
        <f>HYPERLINK("https://www.boe.es/gazeta/dias/1803/03/18/pdfs/GMD-1803-22.pdf#page=10","Abrir facsímil")</f>
        <v>Abrir facsímil</v>
      </c>
      <c r="K1105" s="15" t="s">
        <v>23</v>
      </c>
    </row>
    <row r="1106" spans="1:11" ht="42" customHeight="1">
      <c r="A1106" s="4" t="s">
        <v>2932</v>
      </c>
      <c r="B1106" s="5" t="s">
        <v>2933</v>
      </c>
      <c r="C1106" s="5" t="s">
        <v>26</v>
      </c>
      <c r="D1106" s="5" t="s">
        <v>27</v>
      </c>
      <c r="E1106" s="5" t="s">
        <v>477</v>
      </c>
      <c r="F1106" s="9">
        <v>48</v>
      </c>
      <c r="G1106" s="9">
        <v>511</v>
      </c>
      <c r="H1106" s="5" t="s">
        <v>21</v>
      </c>
      <c r="I1106" s="5" t="s">
        <v>2935</v>
      </c>
      <c r="J1106" s="12" t="str">
        <f>HYPERLINK("https://www.boe.es/gazeta/dias/1803/06/17/pdfs/GMD-1803-48.pdf#page=11","Abrir facsímil")</f>
        <v>Abrir facsímil</v>
      </c>
      <c r="K1106" s="15" t="s">
        <v>23</v>
      </c>
    </row>
    <row r="1107" spans="1:11" ht="42" customHeight="1">
      <c r="A1107" s="4" t="s">
        <v>2932</v>
      </c>
      <c r="B1107" s="5" t="s">
        <v>2933</v>
      </c>
      <c r="C1107" s="5" t="s">
        <v>51</v>
      </c>
      <c r="D1107" s="5" t="s">
        <v>52</v>
      </c>
      <c r="E1107" s="5" t="s">
        <v>336</v>
      </c>
      <c r="F1107" s="9">
        <v>105</v>
      </c>
      <c r="G1107" s="9">
        <v>1123</v>
      </c>
      <c r="H1107" s="5" t="s">
        <v>21</v>
      </c>
      <c r="I1107" s="5" t="s">
        <v>2936</v>
      </c>
      <c r="J1107" s="12" t="str">
        <f>HYPERLINK("https://www.boe.es/gazeta/dias/1803/12/30/pdfs/GMD-1803-105.pdf#page=7","Abrir facsímil")</f>
        <v>Abrir facsímil</v>
      </c>
      <c r="K1107" s="15" t="s">
        <v>23</v>
      </c>
    </row>
    <row r="1108" spans="1:11" ht="42" customHeight="1">
      <c r="A1108" s="4" t="s">
        <v>2937</v>
      </c>
      <c r="B1108" s="5" t="s">
        <v>2938</v>
      </c>
      <c r="C1108" s="5" t="s">
        <v>18</v>
      </c>
      <c r="D1108" s="5" t="s">
        <v>19</v>
      </c>
      <c r="E1108" s="5" t="s">
        <v>321</v>
      </c>
      <c r="F1108" s="9">
        <v>94</v>
      </c>
      <c r="G1108" s="9">
        <v>1011</v>
      </c>
      <c r="H1108" s="5" t="s">
        <v>21</v>
      </c>
      <c r="I1108" s="5" t="s">
        <v>2939</v>
      </c>
      <c r="J1108" s="12" t="str">
        <f>HYPERLINK("https://www.boe.es/gazeta/dias/1803/11/22/pdfs/GMD-1803-94.pdf#page=11","Abrir facsímil")</f>
        <v>Abrir facsímil</v>
      </c>
      <c r="K1108" s="15" t="s">
        <v>23</v>
      </c>
    </row>
    <row r="1109" spans="1:11" ht="42" customHeight="1">
      <c r="A1109" s="4" t="s">
        <v>2940</v>
      </c>
      <c r="B1109" s="5" t="s">
        <v>2941</v>
      </c>
      <c r="C1109" s="5" t="s">
        <v>26</v>
      </c>
      <c r="D1109" s="5" t="s">
        <v>27</v>
      </c>
      <c r="E1109" s="5" t="s">
        <v>391</v>
      </c>
      <c r="F1109" s="9">
        <v>61</v>
      </c>
      <c r="G1109" s="9">
        <v>668</v>
      </c>
      <c r="H1109" s="5" t="s">
        <v>21</v>
      </c>
      <c r="I1109" s="5" t="s">
        <v>2942</v>
      </c>
      <c r="J1109" s="12" t="str">
        <f>HYPERLINK("https://www.boe.es/gazeta/dias/1803/08/02/pdfs/GMD-1803-61.pdf#page=8","Abrir facsímil")</f>
        <v>Abrir facsímil</v>
      </c>
      <c r="K1109" s="15" t="s">
        <v>23</v>
      </c>
    </row>
    <row r="1110" spans="1:11" ht="42" customHeight="1">
      <c r="A1110" s="4" t="s">
        <v>2943</v>
      </c>
      <c r="B1110" s="5" t="s">
        <v>2944</v>
      </c>
      <c r="C1110" s="5" t="s">
        <v>18</v>
      </c>
      <c r="D1110" s="5" t="s">
        <v>19</v>
      </c>
      <c r="E1110" s="5" t="s">
        <v>784</v>
      </c>
      <c r="F1110" s="9">
        <v>86</v>
      </c>
      <c r="G1110" s="9">
        <v>929</v>
      </c>
      <c r="H1110" s="5" t="s">
        <v>21</v>
      </c>
      <c r="I1110" s="5" t="s">
        <v>2945</v>
      </c>
      <c r="J1110" s="12" t="str">
        <f>HYPERLINK("https://www.boe.es/gazeta/dias/1803/10/25/pdfs/GMD-1803-86.pdf#page=9","Abrir facsímil")</f>
        <v>Abrir facsímil</v>
      </c>
      <c r="K1110" s="15" t="s">
        <v>23</v>
      </c>
    </row>
    <row r="1111" spans="1:11" ht="42" customHeight="1">
      <c r="A1111" s="4" t="s">
        <v>2946</v>
      </c>
      <c r="B1111" s="5" t="s">
        <v>2947</v>
      </c>
      <c r="C1111" s="5" t="s">
        <v>26</v>
      </c>
      <c r="D1111" s="5" t="s">
        <v>27</v>
      </c>
      <c r="E1111" s="5" t="s">
        <v>657</v>
      </c>
      <c r="F1111" s="9">
        <v>24</v>
      </c>
      <c r="G1111" s="9">
        <v>256</v>
      </c>
      <c r="H1111" s="5" t="s">
        <v>21</v>
      </c>
      <c r="I1111" s="5" t="s">
        <v>2948</v>
      </c>
      <c r="J1111" s="12" t="str">
        <f>HYPERLINK("https://www.boe.es/gazeta/dias/1803/03/25/pdfs/GMD-1803-24.pdf#page=8","Abrir facsímil")</f>
        <v>Abrir facsímil</v>
      </c>
      <c r="K1111" s="15" t="s">
        <v>23</v>
      </c>
    </row>
    <row r="1112" spans="1:11" ht="42" customHeight="1">
      <c r="A1112" s="4" t="s">
        <v>2949</v>
      </c>
      <c r="B1112" s="5" t="s">
        <v>2950</v>
      </c>
      <c r="C1112" s="5" t="s">
        <v>26</v>
      </c>
      <c r="D1112" s="5" t="s">
        <v>27</v>
      </c>
      <c r="E1112" s="5" t="s">
        <v>882</v>
      </c>
      <c r="F1112" s="9">
        <v>60</v>
      </c>
      <c r="G1112" s="9">
        <v>656</v>
      </c>
      <c r="H1112" s="5" t="s">
        <v>21</v>
      </c>
      <c r="I1112" s="5" t="s">
        <v>2951</v>
      </c>
      <c r="J1112" s="12" t="str">
        <f>HYPERLINK("https://www.boe.es/gazeta/dias/1803/07/29/pdfs/GMD-1803-60.pdf#page=8","Abrir facsímil")</f>
        <v>Abrir facsímil</v>
      </c>
      <c r="K1112" s="15" t="s">
        <v>23</v>
      </c>
    </row>
    <row r="1113" spans="1:11" ht="42" customHeight="1">
      <c r="A1113" s="4" t="s">
        <v>2952</v>
      </c>
      <c r="B1113" s="5" t="s">
        <v>2953</v>
      </c>
      <c r="C1113" s="5" t="s">
        <v>46</v>
      </c>
      <c r="D1113" s="5" t="s">
        <v>19</v>
      </c>
      <c r="E1113" s="5" t="s">
        <v>258</v>
      </c>
      <c r="F1113" s="9">
        <v>7</v>
      </c>
      <c r="G1113" s="9">
        <v>72</v>
      </c>
      <c r="H1113" s="5" t="s">
        <v>21</v>
      </c>
      <c r="I1113" s="5" t="s">
        <v>2954</v>
      </c>
      <c r="J1113" s="12" t="str">
        <f>HYPERLINK("https://www.boe.es/gazeta/dias/1803/01/25/pdfs/GMD-1803-7.pdf#page=12","Abrir facsímil")</f>
        <v>Abrir facsímil</v>
      </c>
      <c r="K1113" s="15" t="s">
        <v>23</v>
      </c>
    </row>
    <row r="1114" spans="1:11" ht="42" customHeight="1">
      <c r="A1114" s="4" t="s">
        <v>2955</v>
      </c>
      <c r="B1114" s="5" t="s">
        <v>2956</v>
      </c>
      <c r="C1114" s="5" t="s">
        <v>26</v>
      </c>
      <c r="D1114" s="5" t="s">
        <v>27</v>
      </c>
      <c r="E1114" s="5" t="s">
        <v>606</v>
      </c>
      <c r="F1114" s="9">
        <v>47</v>
      </c>
      <c r="G1114" s="9">
        <v>498</v>
      </c>
      <c r="H1114" s="5" t="s">
        <v>21</v>
      </c>
      <c r="I1114" s="5" t="s">
        <v>2957</v>
      </c>
      <c r="J1114" s="12" t="str">
        <f>HYPERLINK("https://www.boe.es/gazeta/dias/1803/06/14/pdfs/GMD-1803-47.pdf#page=10","Abrir facsímil")</f>
        <v>Abrir facsímil</v>
      </c>
      <c r="K1114" s="15" t="s">
        <v>23</v>
      </c>
    </row>
    <row r="1115" spans="1:11" ht="42" customHeight="1">
      <c r="A1115" s="4" t="s">
        <v>2958</v>
      </c>
      <c r="B1115" s="5" t="s">
        <v>2959</v>
      </c>
      <c r="C1115" s="5" t="s">
        <v>80</v>
      </c>
      <c r="D1115" s="5" t="s">
        <v>81</v>
      </c>
      <c r="E1115" s="5" t="s">
        <v>218</v>
      </c>
      <c r="F1115" s="9">
        <v>19</v>
      </c>
      <c r="G1115" s="9">
        <v>200</v>
      </c>
      <c r="H1115" s="5" t="s">
        <v>21</v>
      </c>
      <c r="I1115" s="5" t="s">
        <v>2960</v>
      </c>
      <c r="J1115" s="12" t="str">
        <f>HYPERLINK("https://www.boe.es/gazeta/dias/1803/03/08/pdfs/GMD-1803-19.pdf#page=8","Abrir facsímil")</f>
        <v>Abrir facsímil</v>
      </c>
      <c r="K1115" s="15" t="s">
        <v>23</v>
      </c>
    </row>
    <row r="1116" spans="1:11" ht="42" customHeight="1">
      <c r="A1116" s="4" t="s">
        <v>2961</v>
      </c>
      <c r="B1116" s="5" t="s">
        <v>2962</v>
      </c>
      <c r="C1116" s="5" t="s">
        <v>51</v>
      </c>
      <c r="D1116" s="5" t="s">
        <v>52</v>
      </c>
      <c r="E1116" s="5" t="s">
        <v>726</v>
      </c>
      <c r="F1116" s="9">
        <v>78</v>
      </c>
      <c r="G1116" s="9">
        <v>844</v>
      </c>
      <c r="H1116" s="5" t="s">
        <v>21</v>
      </c>
      <c r="I1116" s="5" t="s">
        <v>2963</v>
      </c>
      <c r="J1116" s="12" t="str">
        <f>HYPERLINK("https://www.boe.es/gazeta/dias/1803/09/27/pdfs/GMD-1803-78.pdf#page=8","Abrir facsímil")</f>
        <v>Abrir facsímil</v>
      </c>
      <c r="K1116" s="15" t="s">
        <v>23</v>
      </c>
    </row>
    <row r="1117" spans="1:11" ht="42" customHeight="1">
      <c r="A1117" s="4" t="s">
        <v>2964</v>
      </c>
      <c r="B1117" s="5" t="s">
        <v>2965</v>
      </c>
      <c r="C1117" s="5" t="s">
        <v>18</v>
      </c>
      <c r="D1117" s="5" t="s">
        <v>19</v>
      </c>
      <c r="E1117" s="5" t="s">
        <v>571</v>
      </c>
      <c r="F1117" s="9">
        <v>103</v>
      </c>
      <c r="G1117" s="9">
        <v>1106</v>
      </c>
      <c r="H1117" s="5" t="s">
        <v>21</v>
      </c>
      <c r="I1117" s="5" t="s">
        <v>2966</v>
      </c>
      <c r="J1117" s="12" t="str">
        <f>HYPERLINK("https://www.boe.es/gazeta/dias/1803/12/23/pdfs/GMD-1803-103.pdf#page=6","Abrir facsímil")</f>
        <v>Abrir facsímil</v>
      </c>
      <c r="K1117" s="15" t="s">
        <v>23</v>
      </c>
    </row>
    <row r="1118" spans="1:11" ht="42" customHeight="1">
      <c r="A1118" s="4" t="s">
        <v>2967</v>
      </c>
      <c r="B1118" s="5" t="s">
        <v>2968</v>
      </c>
      <c r="C1118" s="5" t="s">
        <v>26</v>
      </c>
      <c r="D1118" s="5" t="s">
        <v>27</v>
      </c>
      <c r="E1118" s="5" t="s">
        <v>132</v>
      </c>
      <c r="F1118" s="9">
        <v>58</v>
      </c>
      <c r="G1118" s="9">
        <v>639</v>
      </c>
      <c r="H1118" s="5" t="s">
        <v>21</v>
      </c>
      <c r="I1118" s="5" t="s">
        <v>2969</v>
      </c>
      <c r="J1118" s="12" t="str">
        <f>HYPERLINK("https://www.boe.es/gazeta/dias/1803/07/22/pdfs/GMD-1803-58.pdf#page=11","Abrir facsímil")</f>
        <v>Abrir facsímil</v>
      </c>
      <c r="K1118" s="15" t="s">
        <v>23</v>
      </c>
    </row>
    <row r="1119" spans="1:11" ht="42" customHeight="1">
      <c r="A1119" s="4" t="s">
        <v>2970</v>
      </c>
      <c r="B1119" s="5" t="s">
        <v>2971</v>
      </c>
      <c r="C1119" s="5" t="s">
        <v>26</v>
      </c>
      <c r="D1119" s="5" t="s">
        <v>27</v>
      </c>
      <c r="E1119" s="5" t="s">
        <v>369</v>
      </c>
      <c r="F1119" s="9">
        <v>100</v>
      </c>
      <c r="G1119" s="9">
        <v>1073</v>
      </c>
      <c r="H1119" s="5" t="s">
        <v>21</v>
      </c>
      <c r="I1119" s="5" t="s">
        <v>2972</v>
      </c>
      <c r="J1119" s="12" t="str">
        <f>HYPERLINK("https://www.boe.es/gazeta/dias/1803/12/13/pdfs/GMD-1803-100.pdf#page=9","Abrir facsímil")</f>
        <v>Abrir facsímil</v>
      </c>
      <c r="K1119" s="15" t="s">
        <v>23</v>
      </c>
    </row>
    <row r="1120" spans="1:11" ht="42" customHeight="1">
      <c r="A1120" s="4" t="s">
        <v>2973</v>
      </c>
      <c r="B1120" s="5" t="s">
        <v>2974</v>
      </c>
      <c r="C1120" s="5" t="s">
        <v>46</v>
      </c>
      <c r="D1120" s="5" t="s">
        <v>19</v>
      </c>
      <c r="E1120" s="5" t="s">
        <v>174</v>
      </c>
      <c r="F1120" s="9">
        <v>21</v>
      </c>
      <c r="G1120" s="9">
        <v>226</v>
      </c>
      <c r="H1120" s="5" t="s">
        <v>21</v>
      </c>
      <c r="I1120" s="5" t="s">
        <v>2975</v>
      </c>
      <c r="J1120" s="12" t="str">
        <f>HYPERLINK("https://www.boe.es/gazeta/dias/1803/03/15/pdfs/GMD-1803-21.pdf#page=10","Abrir facsímil")</f>
        <v>Abrir facsímil</v>
      </c>
      <c r="K1120" s="15" t="s">
        <v>23</v>
      </c>
    </row>
    <row r="1121" spans="1:11" ht="42" customHeight="1">
      <c r="A1121" s="4" t="s">
        <v>2973</v>
      </c>
      <c r="B1121" s="5" t="s">
        <v>2974</v>
      </c>
      <c r="C1121" s="5" t="s">
        <v>46</v>
      </c>
      <c r="D1121" s="5" t="s">
        <v>19</v>
      </c>
      <c r="E1121" s="5" t="s">
        <v>609</v>
      </c>
      <c r="F1121" s="9">
        <v>57</v>
      </c>
      <c r="G1121" s="9">
        <v>622</v>
      </c>
      <c r="H1121" s="5" t="s">
        <v>21</v>
      </c>
      <c r="I1121" s="5" t="s">
        <v>2976</v>
      </c>
      <c r="J1121" s="12" t="str">
        <f>HYPERLINK("https://www.boe.es/gazeta/dias/1803/07/19/pdfs/GMD-C-1803-57.pdf#page=2","Abrir facsímil")</f>
        <v>Abrir facsímil</v>
      </c>
      <c r="K1121" s="15" t="s">
        <v>23</v>
      </c>
    </row>
    <row r="1122" spans="1:11" ht="42" customHeight="1">
      <c r="A1122" s="4" t="s">
        <v>2973</v>
      </c>
      <c r="B1122" s="5" t="s">
        <v>2974</v>
      </c>
      <c r="C1122" s="5" t="s">
        <v>46</v>
      </c>
      <c r="D1122" s="5" t="s">
        <v>19</v>
      </c>
      <c r="E1122" s="5" t="s">
        <v>113</v>
      </c>
      <c r="F1122" s="9">
        <v>93</v>
      </c>
      <c r="G1122" s="9">
        <v>997</v>
      </c>
      <c r="H1122" s="5" t="s">
        <v>21</v>
      </c>
      <c r="I1122" s="5" t="s">
        <v>2977</v>
      </c>
      <c r="J1122" s="12" t="str">
        <f>HYPERLINK("https://www.boe.es/gazeta/dias/1803/11/18/pdfs/GMD-1803-93.pdf#page=9","Abrir facsímil")</f>
        <v>Abrir facsímil</v>
      </c>
      <c r="K1122" s="15" t="s">
        <v>23</v>
      </c>
    </row>
    <row r="1123" spans="1:11" ht="42" customHeight="1">
      <c r="A1123" s="4" t="s">
        <v>2978</v>
      </c>
      <c r="B1123" s="5" t="s">
        <v>2979</v>
      </c>
      <c r="C1123" s="5" t="s">
        <v>51</v>
      </c>
      <c r="D1123" s="5" t="s">
        <v>52</v>
      </c>
      <c r="E1123" s="5" t="s">
        <v>317</v>
      </c>
      <c r="F1123" s="9">
        <v>12</v>
      </c>
      <c r="G1123" s="9">
        <v>122</v>
      </c>
      <c r="H1123" s="5" t="s">
        <v>21</v>
      </c>
      <c r="I1123" s="5" t="s">
        <v>2980</v>
      </c>
      <c r="J1123" s="12" t="str">
        <f>HYPERLINK("https://www.boe.es/gazeta/dias/1803/02/11/pdfs/GMD-1803-12.pdf#page=10","Abrir facsímil")</f>
        <v>Abrir facsímil</v>
      </c>
      <c r="K1123" s="15" t="s">
        <v>23</v>
      </c>
    </row>
    <row r="1124" spans="1:11" ht="42" customHeight="1">
      <c r="A1124" s="4" t="s">
        <v>2978</v>
      </c>
      <c r="B1124" s="5" t="s">
        <v>2979</v>
      </c>
      <c r="C1124" s="5" t="s">
        <v>26</v>
      </c>
      <c r="D1124" s="5" t="s">
        <v>27</v>
      </c>
      <c r="E1124" s="5" t="s">
        <v>203</v>
      </c>
      <c r="F1124" s="9">
        <v>32</v>
      </c>
      <c r="G1124" s="9">
        <v>337</v>
      </c>
      <c r="H1124" s="5" t="s">
        <v>21</v>
      </c>
      <c r="I1124" s="5" t="s">
        <v>2981</v>
      </c>
      <c r="J1124" s="12" t="str">
        <f>HYPERLINK("https://www.boe.es/gazeta/dias/1803/04/22/pdfs/GMD-1803-32.pdf#page=9","Abrir facsímil")</f>
        <v>Abrir facsímil</v>
      </c>
      <c r="K1124" s="15" t="s">
        <v>23</v>
      </c>
    </row>
    <row r="1125" spans="1:11" ht="42" customHeight="1">
      <c r="A1125" s="4" t="s">
        <v>2982</v>
      </c>
      <c r="B1125" s="5" t="s">
        <v>2983</v>
      </c>
      <c r="C1125" s="5" t="s">
        <v>51</v>
      </c>
      <c r="D1125" s="5" t="s">
        <v>52</v>
      </c>
      <c r="E1125" s="5" t="s">
        <v>64</v>
      </c>
      <c r="F1125" s="9">
        <v>65</v>
      </c>
      <c r="G1125" s="9">
        <v>710</v>
      </c>
      <c r="H1125" s="5" t="s">
        <v>21</v>
      </c>
      <c r="I1125" s="5" t="s">
        <v>2984</v>
      </c>
      <c r="J1125" s="12" t="str">
        <f>HYPERLINK("https://www.boe.es/gazeta/dias/1803/08/16/pdfs/GMD-1803-65.pdf#page=10","Abrir facsímil")</f>
        <v>Abrir facsímil</v>
      </c>
      <c r="K1125" s="15" t="s">
        <v>23</v>
      </c>
    </row>
    <row r="1126" spans="1:11" ht="42" customHeight="1">
      <c r="A1126" s="4" t="s">
        <v>2985</v>
      </c>
      <c r="B1126" s="5" t="s">
        <v>2986</v>
      </c>
      <c r="C1126" s="5" t="s">
        <v>18</v>
      </c>
      <c r="D1126" s="5" t="s">
        <v>19</v>
      </c>
      <c r="E1126" s="5" t="s">
        <v>148</v>
      </c>
      <c r="F1126" s="9">
        <v>15</v>
      </c>
      <c r="G1126" s="9">
        <v>156</v>
      </c>
      <c r="H1126" s="5" t="s">
        <v>21</v>
      </c>
      <c r="I1126" s="5" t="s">
        <v>2987</v>
      </c>
      <c r="J1126" s="12" t="str">
        <f>HYPERLINK("https://www.boe.es/gazeta/dias/1803/02/22/pdfs/GMD-1803-15.pdf#page=8","Abrir facsímil")</f>
        <v>Abrir facsímil</v>
      </c>
      <c r="K1126" s="15" t="s">
        <v>23</v>
      </c>
    </row>
    <row r="1127" spans="1:11" ht="42" customHeight="1">
      <c r="A1127" s="4" t="s">
        <v>2988</v>
      </c>
      <c r="B1127" s="5" t="s">
        <v>2989</v>
      </c>
      <c r="C1127" s="5" t="s">
        <v>51</v>
      </c>
      <c r="D1127" s="5" t="s">
        <v>52</v>
      </c>
      <c r="E1127" s="5" t="s">
        <v>207</v>
      </c>
      <c r="F1127" s="9">
        <v>27</v>
      </c>
      <c r="G1127" s="9">
        <v>295</v>
      </c>
      <c r="H1127" s="5" t="s">
        <v>21</v>
      </c>
      <c r="I1127" s="5" t="s">
        <v>2990</v>
      </c>
      <c r="J1127" s="12" t="str">
        <f>HYPERLINK("https://www.boe.es/gazeta/dias/1803/04/05/pdfs/GMD-1803-27.pdf#page=11","Abrir facsímil")</f>
        <v>Abrir facsímil</v>
      </c>
      <c r="K1127" s="15" t="s">
        <v>23</v>
      </c>
    </row>
    <row r="1128" spans="1:11" ht="42" customHeight="1">
      <c r="A1128" s="4" t="s">
        <v>2991</v>
      </c>
      <c r="B1128" s="5" t="s">
        <v>2992</v>
      </c>
      <c r="C1128" s="5" t="s">
        <v>51</v>
      </c>
      <c r="D1128" s="5" t="s">
        <v>52</v>
      </c>
      <c r="E1128" s="5" t="s">
        <v>882</v>
      </c>
      <c r="F1128" s="9">
        <v>60</v>
      </c>
      <c r="G1128" s="9">
        <v>660</v>
      </c>
      <c r="H1128" s="5" t="s">
        <v>21</v>
      </c>
      <c r="I1128" s="5" t="s">
        <v>2993</v>
      </c>
      <c r="J1128" s="12" t="str">
        <f>HYPERLINK("https://www.boe.es/gazeta/dias/1803/07/29/pdfs/GMD-1803-60.pdf#page=12","Abrir facsímil")</f>
        <v>Abrir facsímil</v>
      </c>
      <c r="K1128" s="15" t="s">
        <v>23</v>
      </c>
    </row>
    <row r="1129" spans="1:11" ht="42" customHeight="1">
      <c r="A1129" s="4" t="s">
        <v>2994</v>
      </c>
      <c r="B1129" s="5" t="s">
        <v>2995</v>
      </c>
      <c r="C1129" s="5" t="s">
        <v>26</v>
      </c>
      <c r="D1129" s="5" t="s">
        <v>27</v>
      </c>
      <c r="E1129" s="5" t="s">
        <v>263</v>
      </c>
      <c r="F1129" s="9">
        <v>75</v>
      </c>
      <c r="G1129" s="9">
        <v>811</v>
      </c>
      <c r="H1129" s="5" t="s">
        <v>21</v>
      </c>
      <c r="I1129" s="5" t="s">
        <v>2996</v>
      </c>
      <c r="J1129" s="12" t="str">
        <f>HYPERLINK("https://www.boe.es/gazeta/dias/1803/09/16/pdfs/GMD-1803-75.pdf#page=7","Abrir facsímil")</f>
        <v>Abrir facsímil</v>
      </c>
      <c r="K1129" s="15" t="s">
        <v>23</v>
      </c>
    </row>
    <row r="1130" spans="1:11" ht="42" customHeight="1">
      <c r="A1130" s="4" t="s">
        <v>2997</v>
      </c>
      <c r="B1130" s="5" t="s">
        <v>2998</v>
      </c>
      <c r="C1130" s="5" t="s">
        <v>51</v>
      </c>
      <c r="D1130" s="5" t="s">
        <v>52</v>
      </c>
      <c r="E1130" s="5" t="s">
        <v>57</v>
      </c>
      <c r="F1130" s="9">
        <v>51</v>
      </c>
      <c r="G1130" s="9">
        <v>553</v>
      </c>
      <c r="H1130" s="5" t="s">
        <v>21</v>
      </c>
      <c r="I1130" s="5" t="s">
        <v>2999</v>
      </c>
      <c r="J1130" s="12" t="str">
        <f>HYPERLINK("https://www.boe.es/gazeta/dias/1803/06/28/pdfs/GMD-1803-51.pdf#page=9","Abrir facsímil")</f>
        <v>Abrir facsímil</v>
      </c>
      <c r="K1130" s="15" t="s">
        <v>23</v>
      </c>
    </row>
    <row r="1131" spans="1:11" ht="42" customHeight="1">
      <c r="A1131" s="4" t="s">
        <v>3000</v>
      </c>
      <c r="B1131" s="5" t="s">
        <v>3001</v>
      </c>
      <c r="C1131" s="5" t="s">
        <v>26</v>
      </c>
      <c r="D1131" s="5" t="s">
        <v>27</v>
      </c>
      <c r="E1131" s="5" t="s">
        <v>32</v>
      </c>
      <c r="F1131" s="9">
        <v>74</v>
      </c>
      <c r="G1131" s="9">
        <v>803</v>
      </c>
      <c r="H1131" s="5" t="s">
        <v>21</v>
      </c>
      <c r="I1131" s="5" t="s">
        <v>3002</v>
      </c>
      <c r="J1131" s="12" t="str">
        <f>HYPERLINK("https://www.boe.es/gazeta/dias/1803/09/13/pdfs/GMD-1803-74.pdf#page=7","Abrir facsímil")</f>
        <v>Abrir facsímil</v>
      </c>
      <c r="K1131" s="15" t="s">
        <v>23</v>
      </c>
    </row>
    <row r="1132" spans="1:11" ht="42" customHeight="1">
      <c r="A1132" s="4" t="s">
        <v>3003</v>
      </c>
      <c r="B1132" s="5" t="s">
        <v>3004</v>
      </c>
      <c r="C1132" s="5" t="s">
        <v>46</v>
      </c>
      <c r="D1132" s="5" t="s">
        <v>19</v>
      </c>
      <c r="E1132" s="5" t="s">
        <v>514</v>
      </c>
      <c r="F1132" s="9">
        <v>42</v>
      </c>
      <c r="G1132" s="9">
        <v>440</v>
      </c>
      <c r="H1132" s="5" t="s">
        <v>21</v>
      </c>
      <c r="I1132" s="5" t="s">
        <v>3005</v>
      </c>
      <c r="J1132" s="12" t="str">
        <f>HYPERLINK("https://www.boe.es/gazeta/dias/1803/05/27/pdfs/GMD-1803-42.pdf#page=8","Abrir facsímil")</f>
        <v>Abrir facsímil</v>
      </c>
      <c r="K1132" s="15" t="s">
        <v>23</v>
      </c>
    </row>
    <row r="1133" spans="1:11" ht="42" customHeight="1">
      <c r="A1133" s="4" t="s">
        <v>3006</v>
      </c>
      <c r="B1133" s="5" t="s">
        <v>3007</v>
      </c>
      <c r="C1133" s="5" t="s">
        <v>26</v>
      </c>
      <c r="D1133" s="5" t="s">
        <v>27</v>
      </c>
      <c r="E1133" s="5" t="s">
        <v>124</v>
      </c>
      <c r="F1133" s="9">
        <v>20</v>
      </c>
      <c r="G1133" s="9">
        <v>210</v>
      </c>
      <c r="H1133" s="5" t="s">
        <v>21</v>
      </c>
      <c r="I1133" s="5" t="s">
        <v>3008</v>
      </c>
      <c r="J1133" s="12" t="str">
        <f>HYPERLINK("https://www.boe.es/gazeta/dias/1803/03/11/pdfs/GMD-1803-20.pdf#page=6","Abrir facsímil")</f>
        <v>Abrir facsímil</v>
      </c>
      <c r="K1133" s="15" t="s">
        <v>23</v>
      </c>
    </row>
    <row r="1134" spans="1:11" ht="42" customHeight="1">
      <c r="A1134" s="4" t="s">
        <v>3009</v>
      </c>
      <c r="B1134" s="5" t="s">
        <v>3010</v>
      </c>
      <c r="C1134" s="5" t="s">
        <v>46</v>
      </c>
      <c r="D1134" s="5" t="s">
        <v>19</v>
      </c>
      <c r="E1134" s="5" t="s">
        <v>389</v>
      </c>
      <c r="F1134" s="9">
        <v>41</v>
      </c>
      <c r="G1134" s="9">
        <v>431</v>
      </c>
      <c r="H1134" s="5" t="s">
        <v>21</v>
      </c>
      <c r="I1134" s="5" t="s">
        <v>3011</v>
      </c>
      <c r="J1134" s="12" t="str">
        <f>HYPERLINK("https://www.boe.es/gazeta/dias/1803/05/24/pdfs/GMD-1803-41.pdf#page=7","Abrir facsímil")</f>
        <v>Abrir facsímil</v>
      </c>
      <c r="K1134" s="15" t="s">
        <v>23</v>
      </c>
    </row>
    <row r="1135" spans="1:11" ht="42" customHeight="1">
      <c r="A1135" s="4" t="s">
        <v>3012</v>
      </c>
      <c r="B1135" s="5" t="s">
        <v>3013</v>
      </c>
      <c r="C1135" s="5" t="s">
        <v>51</v>
      </c>
      <c r="D1135" s="5" t="s">
        <v>52</v>
      </c>
      <c r="E1135" s="5" t="s">
        <v>174</v>
      </c>
      <c r="F1135" s="9">
        <v>21</v>
      </c>
      <c r="G1135" s="9">
        <v>225</v>
      </c>
      <c r="H1135" s="5" t="s">
        <v>21</v>
      </c>
      <c r="I1135" s="5" t="s">
        <v>3014</v>
      </c>
      <c r="J1135" s="12" t="str">
        <f>HYPERLINK("https://www.boe.es/gazeta/dias/1803/03/15/pdfs/GMD-1803-21.pdf#page=9","Abrir facsímil")</f>
        <v>Abrir facsímil</v>
      </c>
      <c r="K1135" s="15" t="s">
        <v>23</v>
      </c>
    </row>
    <row r="1136" spans="1:11" ht="42" customHeight="1">
      <c r="A1136" s="4" t="s">
        <v>3012</v>
      </c>
      <c r="B1136" s="5" t="s">
        <v>3013</v>
      </c>
      <c r="C1136" s="5" t="s">
        <v>225</v>
      </c>
      <c r="D1136" s="5" t="s">
        <v>226</v>
      </c>
      <c r="E1136" s="5" t="s">
        <v>609</v>
      </c>
      <c r="F1136" s="9">
        <v>57</v>
      </c>
      <c r="G1136" s="9">
        <v>622</v>
      </c>
      <c r="H1136" s="5" t="s">
        <v>21</v>
      </c>
      <c r="I1136" s="5" t="s">
        <v>3015</v>
      </c>
      <c r="J1136" s="12" t="str">
        <f>HYPERLINK("https://www.boe.es/gazeta/dias/1803/07/19/pdfs/GMD-C-1803-57.pdf#page=2","Abrir facsímil")</f>
        <v>Abrir facsímil</v>
      </c>
      <c r="K1136" s="15" t="s">
        <v>23</v>
      </c>
    </row>
    <row r="1137" spans="1:11" ht="42" customHeight="1">
      <c r="A1137" s="4" t="s">
        <v>3012</v>
      </c>
      <c r="B1137" s="5" t="s">
        <v>3013</v>
      </c>
      <c r="C1137" s="5" t="s">
        <v>51</v>
      </c>
      <c r="D1137" s="5" t="s">
        <v>52</v>
      </c>
      <c r="E1137" s="5" t="s">
        <v>113</v>
      </c>
      <c r="F1137" s="9">
        <v>93</v>
      </c>
      <c r="G1137" s="9">
        <v>997</v>
      </c>
      <c r="H1137" s="5" t="s">
        <v>21</v>
      </c>
      <c r="I1137" s="5" t="s">
        <v>3016</v>
      </c>
      <c r="J1137" s="12" t="str">
        <f>HYPERLINK("https://www.boe.es/gazeta/dias/1803/11/18/pdfs/GMD-1803-93.pdf#page=9","Abrir facsímil")</f>
        <v>Abrir facsímil</v>
      </c>
      <c r="K1137" s="15" t="s">
        <v>23</v>
      </c>
    </row>
    <row r="1138" spans="1:11" ht="42" customHeight="1">
      <c r="A1138" s="4" t="s">
        <v>3017</v>
      </c>
      <c r="B1138" s="5" t="s">
        <v>3018</v>
      </c>
      <c r="C1138" s="5" t="s">
        <v>26</v>
      </c>
      <c r="D1138" s="5" t="s">
        <v>27</v>
      </c>
      <c r="E1138" s="5" t="s">
        <v>203</v>
      </c>
      <c r="F1138" s="9">
        <v>32</v>
      </c>
      <c r="G1138" s="9">
        <v>336</v>
      </c>
      <c r="H1138" s="5" t="s">
        <v>21</v>
      </c>
      <c r="I1138" s="5" t="s">
        <v>3019</v>
      </c>
      <c r="J1138" s="12" t="str">
        <f>HYPERLINK("https://www.boe.es/gazeta/dias/1803/04/22/pdfs/GMD-1803-32.pdf#page=8","Abrir facsímil")</f>
        <v>Abrir facsímil</v>
      </c>
      <c r="K1138" s="15" t="s">
        <v>23</v>
      </c>
    </row>
    <row r="1139" spans="1:11" ht="42" customHeight="1">
      <c r="A1139" s="4" t="s">
        <v>3020</v>
      </c>
      <c r="B1139" s="5" t="s">
        <v>3021</v>
      </c>
      <c r="C1139" s="5" t="s">
        <v>18</v>
      </c>
      <c r="D1139" s="5" t="s">
        <v>19</v>
      </c>
      <c r="E1139" s="5" t="s">
        <v>509</v>
      </c>
      <c r="F1139" s="9">
        <v>6</v>
      </c>
      <c r="G1139" s="9">
        <v>55</v>
      </c>
      <c r="H1139" s="5" t="s">
        <v>21</v>
      </c>
      <c r="I1139" s="5" t="s">
        <v>3022</v>
      </c>
      <c r="J1139" s="12" t="str">
        <f>HYPERLINK("https://www.boe.es/gazeta/dias/1803/01/21/pdfs/GMD-1803-6.pdf#page=7","Abrir facsímil")</f>
        <v>Abrir facsímil</v>
      </c>
      <c r="K1139" s="15" t="s">
        <v>23</v>
      </c>
    </row>
    <row r="1140" spans="1:11" ht="42" customHeight="1">
      <c r="A1140" s="4" t="s">
        <v>3023</v>
      </c>
      <c r="B1140" s="5" t="s">
        <v>3024</v>
      </c>
      <c r="C1140" s="5" t="s">
        <v>18</v>
      </c>
      <c r="D1140" s="5" t="s">
        <v>19</v>
      </c>
      <c r="E1140" s="5" t="s">
        <v>571</v>
      </c>
      <c r="F1140" s="9">
        <v>103</v>
      </c>
      <c r="G1140" s="9">
        <v>1106</v>
      </c>
      <c r="H1140" s="5" t="s">
        <v>21</v>
      </c>
      <c r="I1140" s="5" t="s">
        <v>3025</v>
      </c>
      <c r="J1140" s="12" t="str">
        <f>HYPERLINK("https://www.boe.es/gazeta/dias/1803/12/23/pdfs/GMD-1803-103.pdf#page=6","Abrir facsímil")</f>
        <v>Abrir facsímil</v>
      </c>
      <c r="K1140" s="15" t="s">
        <v>23</v>
      </c>
    </row>
    <row r="1141" spans="1:11" ht="42" customHeight="1">
      <c r="A1141" s="4" t="s">
        <v>3026</v>
      </c>
      <c r="B1141" s="5" t="s">
        <v>3027</v>
      </c>
      <c r="C1141" s="5" t="s">
        <v>51</v>
      </c>
      <c r="D1141" s="5" t="s">
        <v>52</v>
      </c>
      <c r="E1141" s="5" t="s">
        <v>477</v>
      </c>
      <c r="F1141" s="9">
        <v>48</v>
      </c>
      <c r="G1141" s="9">
        <v>511</v>
      </c>
      <c r="H1141" s="5" t="s">
        <v>21</v>
      </c>
      <c r="I1141" s="5" t="s">
        <v>3028</v>
      </c>
      <c r="J1141" s="12" t="str">
        <f>HYPERLINK("https://www.boe.es/gazeta/dias/1803/06/17/pdfs/GMD-1803-48.pdf#page=11","Abrir facsímil")</f>
        <v>Abrir facsímil</v>
      </c>
      <c r="K1141" s="15" t="s">
        <v>23</v>
      </c>
    </row>
    <row r="1142" spans="1:11" ht="42" customHeight="1">
      <c r="A1142" s="4" t="s">
        <v>3029</v>
      </c>
      <c r="B1142" s="5" t="s">
        <v>3030</v>
      </c>
      <c r="C1142" s="5" t="s">
        <v>46</v>
      </c>
      <c r="D1142" s="5" t="s">
        <v>19</v>
      </c>
      <c r="E1142" s="5" t="s">
        <v>32</v>
      </c>
      <c r="F1142" s="9">
        <v>74</v>
      </c>
      <c r="G1142" s="9">
        <v>804</v>
      </c>
      <c r="H1142" s="5" t="s">
        <v>21</v>
      </c>
      <c r="I1142" s="5" t="s">
        <v>3031</v>
      </c>
      <c r="J1142" s="12" t="str">
        <f>HYPERLINK("https://www.boe.es/gazeta/dias/1803/09/13/pdfs/GMD-1803-74.pdf#page=8","Abrir facsímil")</f>
        <v>Abrir facsímil</v>
      </c>
      <c r="K1142" s="15" t="s">
        <v>23</v>
      </c>
    </row>
    <row r="1143" spans="1:11" ht="42" customHeight="1">
      <c r="A1143" s="4" t="s">
        <v>3032</v>
      </c>
      <c r="B1143" s="5" t="s">
        <v>3033</v>
      </c>
      <c r="C1143" s="5" t="s">
        <v>26</v>
      </c>
      <c r="D1143" s="5" t="s">
        <v>27</v>
      </c>
      <c r="E1143" s="5" t="s">
        <v>71</v>
      </c>
      <c r="F1143" s="9">
        <v>39</v>
      </c>
      <c r="G1143" s="9">
        <v>413</v>
      </c>
      <c r="H1143" s="5" t="s">
        <v>21</v>
      </c>
      <c r="I1143" s="5" t="s">
        <v>3034</v>
      </c>
      <c r="J1143" s="12" t="str">
        <f>HYPERLINK("https://www.boe.es/gazeta/dias/1803/05/17/pdfs/GMD-1803-39.pdf#page=9","Abrir facsímil")</f>
        <v>Abrir facsímil</v>
      </c>
      <c r="K1143" s="15" t="s">
        <v>23</v>
      </c>
    </row>
    <row r="1144" spans="1:11" ht="42" customHeight="1">
      <c r="A1144" s="4" t="s">
        <v>3035</v>
      </c>
      <c r="B1144" s="5" t="s">
        <v>3036</v>
      </c>
      <c r="C1144" s="5" t="s">
        <v>51</v>
      </c>
      <c r="D1144" s="5" t="s">
        <v>52</v>
      </c>
      <c r="E1144" s="5" t="s">
        <v>571</v>
      </c>
      <c r="F1144" s="9">
        <v>103</v>
      </c>
      <c r="G1144" s="9">
        <v>1105</v>
      </c>
      <c r="H1144" s="5" t="s">
        <v>21</v>
      </c>
      <c r="I1144" s="5" t="s">
        <v>3037</v>
      </c>
      <c r="J1144" s="12" t="str">
        <f>HYPERLINK("https://www.boe.es/gazeta/dias/1803/12/23/pdfs/GMD-1803-103.pdf#page=5","Abrir facsímil")</f>
        <v>Abrir facsímil</v>
      </c>
      <c r="K1144" s="15" t="s">
        <v>23</v>
      </c>
    </row>
    <row r="1145" spans="1:11" ht="42" customHeight="1">
      <c r="A1145" s="4" t="s">
        <v>3038</v>
      </c>
      <c r="B1145" s="5" t="s">
        <v>3039</v>
      </c>
      <c r="C1145" s="5" t="s">
        <v>51</v>
      </c>
      <c r="D1145" s="5" t="s">
        <v>52</v>
      </c>
      <c r="E1145" s="5" t="s">
        <v>124</v>
      </c>
      <c r="F1145" s="9">
        <v>20</v>
      </c>
      <c r="G1145" s="9">
        <v>211</v>
      </c>
      <c r="H1145" s="5" t="s">
        <v>21</v>
      </c>
      <c r="I1145" s="5" t="s">
        <v>3040</v>
      </c>
      <c r="J1145" s="12" t="str">
        <f>HYPERLINK("https://www.boe.es/gazeta/dias/1803/03/11/pdfs/GMD-1803-20.pdf#page=7","Abrir facsímil")</f>
        <v>Abrir facsímil</v>
      </c>
      <c r="K1145" s="15" t="s">
        <v>23</v>
      </c>
    </row>
    <row r="1146" spans="1:11" ht="42" customHeight="1">
      <c r="A1146" s="4" t="s">
        <v>3041</v>
      </c>
      <c r="B1146" s="5" t="s">
        <v>3042</v>
      </c>
      <c r="C1146" s="5" t="s">
        <v>26</v>
      </c>
      <c r="D1146" s="5" t="s">
        <v>27</v>
      </c>
      <c r="E1146" s="5" t="s">
        <v>293</v>
      </c>
      <c r="F1146" s="9">
        <v>45</v>
      </c>
      <c r="G1146" s="9">
        <v>474</v>
      </c>
      <c r="H1146" s="5" t="s">
        <v>21</v>
      </c>
      <c r="I1146" s="5" t="s">
        <v>3043</v>
      </c>
      <c r="J1146" s="12" t="str">
        <f>HYPERLINK("https://www.boe.es/gazeta/dias/1803/06/07/pdfs/GMD-1803-45.pdf#page=10","Abrir facsímil")</f>
        <v>Abrir facsímil</v>
      </c>
      <c r="K1146" s="15" t="s">
        <v>23</v>
      </c>
    </row>
    <row r="1147" spans="1:11" ht="42" customHeight="1">
      <c r="A1147" s="4" t="s">
        <v>3044</v>
      </c>
      <c r="B1147" s="5" t="s">
        <v>3045</v>
      </c>
      <c r="C1147" s="5" t="s">
        <v>51</v>
      </c>
      <c r="D1147" s="5" t="s">
        <v>52</v>
      </c>
      <c r="E1147" s="5" t="s">
        <v>250</v>
      </c>
      <c r="F1147" s="9">
        <v>4</v>
      </c>
      <c r="G1147" s="9">
        <v>36</v>
      </c>
      <c r="H1147" s="5" t="s">
        <v>21</v>
      </c>
      <c r="I1147" s="5" t="s">
        <v>3046</v>
      </c>
      <c r="J1147" s="12" t="str">
        <f>HYPERLINK("https://www.boe.es/gazeta/dias/1803/01/14/pdfs/GMD-1803-4.pdf#page=8","Abrir facsímil")</f>
        <v>Abrir facsímil</v>
      </c>
      <c r="K1147" s="15" t="s">
        <v>23</v>
      </c>
    </row>
    <row r="1148" spans="1:11" ht="42" customHeight="1">
      <c r="A1148" s="4" t="s">
        <v>3047</v>
      </c>
      <c r="B1148" s="5" t="s">
        <v>3048</v>
      </c>
      <c r="C1148" s="5" t="s">
        <v>26</v>
      </c>
      <c r="D1148" s="5" t="s">
        <v>27</v>
      </c>
      <c r="E1148" s="5" t="s">
        <v>61</v>
      </c>
      <c r="F1148" s="9">
        <v>67</v>
      </c>
      <c r="G1148" s="9">
        <v>730</v>
      </c>
      <c r="H1148" s="5" t="s">
        <v>21</v>
      </c>
      <c r="I1148" s="5" t="s">
        <v>3049</v>
      </c>
      <c r="J1148" s="12" t="str">
        <f>HYPERLINK("https://www.boe.es/gazeta/dias/1803/08/23/pdfs/GMD-1803-67.pdf#page=10","Abrir facsímil")</f>
        <v>Abrir facsímil</v>
      </c>
      <c r="K1148" s="15" t="s">
        <v>23</v>
      </c>
    </row>
    <row r="1149" spans="1:11" ht="42" customHeight="1">
      <c r="A1149" s="4" t="s">
        <v>3050</v>
      </c>
      <c r="B1149" s="5" t="s">
        <v>3051</v>
      </c>
      <c r="C1149" s="5" t="s">
        <v>51</v>
      </c>
      <c r="D1149" s="5" t="s">
        <v>52</v>
      </c>
      <c r="E1149" s="5" t="s">
        <v>109</v>
      </c>
      <c r="F1149" s="9">
        <v>102</v>
      </c>
      <c r="G1149" s="9">
        <v>1097</v>
      </c>
      <c r="H1149" s="5" t="s">
        <v>21</v>
      </c>
      <c r="I1149" s="5" t="s">
        <v>3052</v>
      </c>
      <c r="J1149" s="12" t="str">
        <f>HYPERLINK("https://www.boe.es/gazeta/dias/1803/12/20/pdfs/GMD-1803-102.pdf#page=9","Abrir facsímil")</f>
        <v>Abrir facsímil</v>
      </c>
      <c r="K1149" s="15" t="s">
        <v>23</v>
      </c>
    </row>
    <row r="1150" spans="1:11" ht="42" customHeight="1">
      <c r="A1150" s="4" t="s">
        <v>3053</v>
      </c>
      <c r="B1150" s="5" t="s">
        <v>3054</v>
      </c>
      <c r="C1150" s="5" t="s">
        <v>26</v>
      </c>
      <c r="D1150" s="5" t="s">
        <v>27</v>
      </c>
      <c r="E1150" s="5" t="s">
        <v>588</v>
      </c>
      <c r="F1150" s="9">
        <v>63</v>
      </c>
      <c r="G1150" s="9">
        <v>687</v>
      </c>
      <c r="H1150" s="5" t="s">
        <v>21</v>
      </c>
      <c r="I1150" s="5" t="s">
        <v>3055</v>
      </c>
      <c r="J1150" s="12" t="str">
        <f>HYPERLINK("https://www.boe.es/gazeta/dias/1803/08/09/pdfs/GMD-1803-63.pdf#page=7","Abrir facsímil")</f>
        <v>Abrir facsímil</v>
      </c>
      <c r="K1150" s="15" t="s">
        <v>23</v>
      </c>
    </row>
    <row r="1151" spans="1:11" ht="42" customHeight="1">
      <c r="A1151" s="4" t="s">
        <v>3056</v>
      </c>
      <c r="B1151" s="5" t="s">
        <v>3057</v>
      </c>
      <c r="C1151" s="5" t="s">
        <v>26</v>
      </c>
      <c r="D1151" s="5" t="s">
        <v>27</v>
      </c>
      <c r="E1151" s="5" t="s">
        <v>285</v>
      </c>
      <c r="F1151" s="9">
        <v>5</v>
      </c>
      <c r="G1151" s="9">
        <v>45</v>
      </c>
      <c r="H1151" s="5" t="s">
        <v>21</v>
      </c>
      <c r="I1151" s="5" t="s">
        <v>3058</v>
      </c>
      <c r="J1151" s="12" t="str">
        <f>HYPERLINK("https://www.boe.es/gazeta/dias/1803/01/18/pdfs/GMD-1803-5.pdf#page=9","Abrir facsímil")</f>
        <v>Abrir facsímil</v>
      </c>
      <c r="K1151" s="15" t="s">
        <v>23</v>
      </c>
    </row>
    <row r="1152" spans="1:11" ht="42" customHeight="1">
      <c r="A1152" s="4" t="s">
        <v>3059</v>
      </c>
      <c r="B1152" s="5" t="s">
        <v>3060</v>
      </c>
      <c r="C1152" s="5" t="s">
        <v>18</v>
      </c>
      <c r="D1152" s="5" t="s">
        <v>19</v>
      </c>
      <c r="E1152" s="5" t="s">
        <v>882</v>
      </c>
      <c r="F1152" s="9">
        <v>60</v>
      </c>
      <c r="G1152" s="9">
        <v>657</v>
      </c>
      <c r="H1152" s="5" t="s">
        <v>21</v>
      </c>
      <c r="I1152" s="5" t="s">
        <v>3061</v>
      </c>
      <c r="J1152" s="12" t="str">
        <f>HYPERLINK("https://www.boe.es/gazeta/dias/1803/07/29/pdfs/GMD-1803-60.pdf#page=9","Abrir facsímil")</f>
        <v>Abrir facsímil</v>
      </c>
      <c r="K1152" s="15" t="s">
        <v>23</v>
      </c>
    </row>
    <row r="1153" spans="1:11" ht="42" customHeight="1">
      <c r="A1153" s="4" t="s">
        <v>3062</v>
      </c>
      <c r="B1153" s="5" t="s">
        <v>3063</v>
      </c>
      <c r="C1153" s="5" t="s">
        <v>51</v>
      </c>
      <c r="D1153" s="5" t="s">
        <v>52</v>
      </c>
      <c r="E1153" s="5" t="s">
        <v>630</v>
      </c>
      <c r="F1153" s="9">
        <v>85</v>
      </c>
      <c r="G1153" s="9">
        <v>920</v>
      </c>
      <c r="H1153" s="5" t="s">
        <v>21</v>
      </c>
      <c r="I1153" s="5" t="s">
        <v>3064</v>
      </c>
      <c r="J1153" s="12" t="str">
        <f>HYPERLINK("https://www.boe.es/gazeta/dias/1803/10/21/pdfs/GMD-1803-85.pdf#page=12","Abrir facsímil")</f>
        <v>Abrir facsímil</v>
      </c>
      <c r="K1153" s="15" t="s">
        <v>23</v>
      </c>
    </row>
    <row r="1154" spans="1:11" ht="42" customHeight="1">
      <c r="A1154" s="4" t="s">
        <v>3065</v>
      </c>
      <c r="B1154" s="5" t="s">
        <v>3066</v>
      </c>
      <c r="C1154" s="5" t="s">
        <v>26</v>
      </c>
      <c r="D1154" s="5" t="s">
        <v>27</v>
      </c>
      <c r="E1154" s="5" t="s">
        <v>657</v>
      </c>
      <c r="F1154" s="9">
        <v>24</v>
      </c>
      <c r="G1154" s="9">
        <v>256</v>
      </c>
      <c r="H1154" s="5" t="s">
        <v>21</v>
      </c>
      <c r="I1154" s="5" t="s">
        <v>3067</v>
      </c>
      <c r="J1154" s="12" t="str">
        <f>HYPERLINK("https://www.boe.es/gazeta/dias/1803/03/25/pdfs/GMD-1803-24.pdf#page=8","Abrir facsímil")</f>
        <v>Abrir facsímil</v>
      </c>
      <c r="K1154" s="15" t="s">
        <v>23</v>
      </c>
    </row>
    <row r="1155" spans="1:11" ht="42" customHeight="1">
      <c r="A1155" s="4" t="s">
        <v>3068</v>
      </c>
      <c r="B1155" s="5" t="s">
        <v>3069</v>
      </c>
      <c r="C1155" s="5" t="s">
        <v>51</v>
      </c>
      <c r="D1155" s="5" t="s">
        <v>52</v>
      </c>
      <c r="E1155" s="5" t="s">
        <v>289</v>
      </c>
      <c r="F1155" s="9">
        <v>38</v>
      </c>
      <c r="G1155" s="9">
        <v>400</v>
      </c>
      <c r="H1155" s="5" t="s">
        <v>21</v>
      </c>
      <c r="I1155" s="5" t="s">
        <v>3070</v>
      </c>
      <c r="J1155" s="12" t="str">
        <f>HYPERLINK("https://www.boe.es/gazeta/dias/1803/05/13/pdfs/GMD-1803-38.pdf#page=8","Abrir facsímil")</f>
        <v>Abrir facsímil</v>
      </c>
      <c r="K1155" s="15" t="s">
        <v>23</v>
      </c>
    </row>
    <row r="1156" spans="1:11" ht="42" customHeight="1">
      <c r="A1156" s="4" t="s">
        <v>3071</v>
      </c>
      <c r="B1156" s="5" t="s">
        <v>3072</v>
      </c>
      <c r="C1156" s="5" t="s">
        <v>51</v>
      </c>
      <c r="D1156" s="5" t="s">
        <v>52</v>
      </c>
      <c r="E1156" s="5" t="s">
        <v>124</v>
      </c>
      <c r="F1156" s="9">
        <v>20</v>
      </c>
      <c r="G1156" s="9">
        <v>210</v>
      </c>
      <c r="H1156" s="5" t="s">
        <v>21</v>
      </c>
      <c r="I1156" s="5" t="s">
        <v>3073</v>
      </c>
      <c r="J1156" s="12" t="str">
        <f>HYPERLINK("https://www.boe.es/gazeta/dias/1803/03/11/pdfs/GMD-1803-20.pdf#page=6","Abrir facsímil")</f>
        <v>Abrir facsímil</v>
      </c>
      <c r="K1156" s="15" t="s">
        <v>23</v>
      </c>
    </row>
    <row r="1157" spans="1:11" ht="42" customHeight="1">
      <c r="A1157" s="4" t="s">
        <v>3074</v>
      </c>
      <c r="B1157" s="5" t="s">
        <v>3075</v>
      </c>
      <c r="C1157" s="5" t="s">
        <v>26</v>
      </c>
      <c r="D1157" s="5" t="s">
        <v>27</v>
      </c>
      <c r="E1157" s="5" t="s">
        <v>93</v>
      </c>
      <c r="F1157" s="9">
        <v>43</v>
      </c>
      <c r="G1157" s="9">
        <v>452</v>
      </c>
      <c r="H1157" s="5" t="s">
        <v>21</v>
      </c>
      <c r="I1157" s="5" t="s">
        <v>3076</v>
      </c>
      <c r="J1157" s="12" t="str">
        <f>HYPERLINK("https://www.boe.es/gazeta/dias/1803/05/31/pdfs/GMD-1803-43.pdf#page=12","Abrir facsímil")</f>
        <v>Abrir facsímil</v>
      </c>
      <c r="K1157" s="15" t="s">
        <v>23</v>
      </c>
    </row>
    <row r="1158" spans="1:11" ht="42" customHeight="1">
      <c r="A1158" s="4" t="s">
        <v>3077</v>
      </c>
      <c r="B1158" s="5" t="s">
        <v>3078</v>
      </c>
      <c r="C1158" s="5" t="s">
        <v>26</v>
      </c>
      <c r="D1158" s="5" t="s">
        <v>27</v>
      </c>
      <c r="E1158" s="5" t="s">
        <v>1846</v>
      </c>
      <c r="F1158" s="9">
        <v>89</v>
      </c>
      <c r="G1158" s="9">
        <v>958</v>
      </c>
      <c r="H1158" s="5" t="s">
        <v>21</v>
      </c>
      <c r="I1158" s="5" t="s">
        <v>3079</v>
      </c>
      <c r="J1158" s="12" t="str">
        <f>HYPERLINK("https://www.boe.es/gazeta/dias/1803/11/04/pdfs/GMD-1803-89.pdf#page=6","Abrir facsímil")</f>
        <v>Abrir facsímil</v>
      </c>
      <c r="K1158" s="15" t="s">
        <v>23</v>
      </c>
    </row>
    <row r="1159" spans="1:11" ht="42" customHeight="1">
      <c r="A1159" s="4" t="s">
        <v>3080</v>
      </c>
      <c r="B1159" s="5" t="s">
        <v>3081</v>
      </c>
      <c r="C1159" s="5" t="s">
        <v>26</v>
      </c>
      <c r="D1159" s="5" t="s">
        <v>27</v>
      </c>
      <c r="E1159" s="5" t="s">
        <v>71</v>
      </c>
      <c r="F1159" s="9">
        <v>39</v>
      </c>
      <c r="G1159" s="9">
        <v>413</v>
      </c>
      <c r="H1159" s="5" t="s">
        <v>21</v>
      </c>
      <c r="I1159" s="5" t="s">
        <v>3082</v>
      </c>
      <c r="J1159" s="12" t="str">
        <f>HYPERLINK("https://www.boe.es/gazeta/dias/1803/05/17/pdfs/GMD-1803-39.pdf#page=9","Abrir facsímil")</f>
        <v>Abrir facsímil</v>
      </c>
      <c r="K1159" s="15" t="s">
        <v>23</v>
      </c>
    </row>
    <row r="1160" spans="1:11" ht="42" customHeight="1">
      <c r="A1160" s="4" t="s">
        <v>3083</v>
      </c>
      <c r="B1160" s="5" t="s">
        <v>3084</v>
      </c>
      <c r="C1160" s="5" t="s">
        <v>26</v>
      </c>
      <c r="D1160" s="5" t="s">
        <v>27</v>
      </c>
      <c r="E1160" s="5" t="s">
        <v>189</v>
      </c>
      <c r="F1160" s="9">
        <v>9</v>
      </c>
      <c r="G1160" s="9">
        <v>92</v>
      </c>
      <c r="H1160" s="5" t="s">
        <v>21</v>
      </c>
      <c r="I1160" s="5" t="s">
        <v>3085</v>
      </c>
      <c r="J1160" s="12" t="str">
        <f>HYPERLINK("https://www.boe.es/gazeta/dias/1803/02/01/pdfs/GMD-1803-9.pdf#page=8","Abrir facsímil")</f>
        <v>Abrir facsímil</v>
      </c>
      <c r="K1160" s="15" t="s">
        <v>23</v>
      </c>
    </row>
    <row r="1161" spans="1:11" ht="42" customHeight="1">
      <c r="A1161" s="4" t="s">
        <v>3083</v>
      </c>
      <c r="B1161" s="5" t="s">
        <v>3084</v>
      </c>
      <c r="C1161" s="5" t="s">
        <v>26</v>
      </c>
      <c r="D1161" s="5" t="s">
        <v>27</v>
      </c>
      <c r="E1161" s="5" t="s">
        <v>85</v>
      </c>
      <c r="F1161" s="9">
        <v>49</v>
      </c>
      <c r="G1161" s="9">
        <v>522</v>
      </c>
      <c r="H1161" s="5" t="s">
        <v>21</v>
      </c>
      <c r="I1161" s="5" t="s">
        <v>3086</v>
      </c>
      <c r="J1161" s="12" t="str">
        <f>HYPERLINK("https://www.boe.es/gazeta/dias/1803/06/21/pdfs/GMD-1803-49.pdf#page=10","Abrir facsímil")</f>
        <v>Abrir facsímil</v>
      </c>
      <c r="K1161" s="15" t="s">
        <v>23</v>
      </c>
    </row>
    <row r="1162" spans="1:11" ht="42" customHeight="1">
      <c r="A1162" s="4" t="s">
        <v>3087</v>
      </c>
      <c r="B1162" s="5" t="s">
        <v>3088</v>
      </c>
      <c r="C1162" s="5" t="s">
        <v>40</v>
      </c>
      <c r="D1162" s="5" t="s">
        <v>41</v>
      </c>
      <c r="E1162" s="5" t="s">
        <v>61</v>
      </c>
      <c r="F1162" s="9">
        <v>67</v>
      </c>
      <c r="G1162" s="9">
        <v>721</v>
      </c>
      <c r="H1162" s="5" t="s">
        <v>21</v>
      </c>
      <c r="I1162" s="5" t="s">
        <v>3089</v>
      </c>
      <c r="J1162" s="12" t="str">
        <f>HYPERLINK("https://www.boe.es/gazeta/dias/1803/08/23/pdfs/GMD-1803-67.pdf#page=1","Abrir facsímil")</f>
        <v>Abrir facsímil</v>
      </c>
      <c r="K1162" s="15" t="s">
        <v>23</v>
      </c>
    </row>
    <row r="1163" spans="1:11" ht="42" customHeight="1">
      <c r="A1163" s="4" t="s">
        <v>3090</v>
      </c>
      <c r="B1163" s="5" t="s">
        <v>3091</v>
      </c>
      <c r="C1163" s="5" t="s">
        <v>26</v>
      </c>
      <c r="D1163" s="5" t="s">
        <v>27</v>
      </c>
      <c r="E1163" s="5" t="s">
        <v>148</v>
      </c>
      <c r="F1163" s="9">
        <v>15</v>
      </c>
      <c r="G1163" s="9">
        <v>156</v>
      </c>
      <c r="H1163" s="5" t="s">
        <v>21</v>
      </c>
      <c r="I1163" s="5" t="s">
        <v>3092</v>
      </c>
      <c r="J1163" s="12" t="str">
        <f>HYPERLINK("https://www.boe.es/gazeta/dias/1803/02/22/pdfs/GMD-1803-15.pdf#page=8","Abrir facsímil")</f>
        <v>Abrir facsímil</v>
      </c>
      <c r="K1163" s="15" t="s">
        <v>23</v>
      </c>
    </row>
    <row r="1164" spans="1:11" ht="42" customHeight="1">
      <c r="A1164" s="4" t="s">
        <v>3093</v>
      </c>
      <c r="B1164" s="5" t="s">
        <v>3094</v>
      </c>
      <c r="C1164" s="5" t="s">
        <v>26</v>
      </c>
      <c r="D1164" s="5" t="s">
        <v>27</v>
      </c>
      <c r="E1164" s="5" t="s">
        <v>71</v>
      </c>
      <c r="F1164" s="9">
        <v>39</v>
      </c>
      <c r="G1164" s="9">
        <v>413</v>
      </c>
      <c r="H1164" s="5" t="s">
        <v>21</v>
      </c>
      <c r="I1164" s="5" t="s">
        <v>3095</v>
      </c>
      <c r="J1164" s="12" t="str">
        <f>HYPERLINK("https://www.boe.es/gazeta/dias/1803/05/17/pdfs/GMD-1803-39.pdf#page=9","Abrir facsímil")</f>
        <v>Abrir facsímil</v>
      </c>
      <c r="K1164" s="15" t="s">
        <v>23</v>
      </c>
    </row>
    <row r="1165" spans="1:11" ht="42" customHeight="1">
      <c r="A1165" s="4" t="s">
        <v>3096</v>
      </c>
      <c r="B1165" s="5" t="s">
        <v>3097</v>
      </c>
      <c r="C1165" s="5" t="s">
        <v>26</v>
      </c>
      <c r="D1165" s="5" t="s">
        <v>27</v>
      </c>
      <c r="E1165" s="5" t="s">
        <v>630</v>
      </c>
      <c r="F1165" s="9">
        <v>85</v>
      </c>
      <c r="G1165" s="9">
        <v>917</v>
      </c>
      <c r="H1165" s="5" t="s">
        <v>21</v>
      </c>
      <c r="I1165" s="5" t="s">
        <v>3098</v>
      </c>
      <c r="J1165" s="12" t="str">
        <f>HYPERLINK("https://www.boe.es/gazeta/dias/1803/10/21/pdfs/GMD-1803-85.pdf#page=9","Abrir facsímil")</f>
        <v>Abrir facsímil</v>
      </c>
      <c r="K1165" s="15" t="s">
        <v>23</v>
      </c>
    </row>
    <row r="1166" spans="1:11" ht="42" customHeight="1">
      <c r="A1166" s="4" t="s">
        <v>3099</v>
      </c>
      <c r="B1166" s="5" t="s">
        <v>3100</v>
      </c>
      <c r="C1166" s="5" t="s">
        <v>80</v>
      </c>
      <c r="D1166" s="5" t="s">
        <v>81</v>
      </c>
      <c r="E1166" s="5" t="s">
        <v>93</v>
      </c>
      <c r="F1166" s="9">
        <v>43</v>
      </c>
      <c r="G1166" s="9">
        <v>451</v>
      </c>
      <c r="H1166" s="5" t="s">
        <v>21</v>
      </c>
      <c r="I1166" s="5" t="s">
        <v>3101</v>
      </c>
      <c r="J1166" s="12" t="str">
        <f>HYPERLINK("https://www.boe.es/gazeta/dias/1803/05/31/pdfs/GMD-1803-43.pdf#page=11","Abrir facsímil")</f>
        <v>Abrir facsímil</v>
      </c>
      <c r="K1166" s="15" t="s">
        <v>23</v>
      </c>
    </row>
    <row r="1167" spans="1:11" ht="42" customHeight="1">
      <c r="A1167" s="4" t="s">
        <v>3102</v>
      </c>
      <c r="B1167" s="5" t="s">
        <v>3103</v>
      </c>
      <c r="C1167" s="5" t="s">
        <v>26</v>
      </c>
      <c r="D1167" s="5" t="s">
        <v>27</v>
      </c>
      <c r="E1167" s="5" t="s">
        <v>88</v>
      </c>
      <c r="F1167" s="9">
        <v>18</v>
      </c>
      <c r="G1167" s="9">
        <v>188</v>
      </c>
      <c r="H1167" s="5" t="s">
        <v>21</v>
      </c>
      <c r="I1167" s="5" t="s">
        <v>3104</v>
      </c>
      <c r="J1167" s="12" t="str">
        <f>HYPERLINK("https://www.boe.es/gazeta/dias/1803/03/04/pdfs/GMD-1803-18.pdf#page=8","Abrir facsímil")</f>
        <v>Abrir facsímil</v>
      </c>
      <c r="K1167" s="15" t="s">
        <v>23</v>
      </c>
    </row>
    <row r="1168" spans="1:11" ht="42" customHeight="1">
      <c r="A1168" s="4" t="s">
        <v>3105</v>
      </c>
      <c r="B1168" s="5" t="s">
        <v>3106</v>
      </c>
      <c r="C1168" s="5" t="s">
        <v>46</v>
      </c>
      <c r="D1168" s="5" t="s">
        <v>19</v>
      </c>
      <c r="E1168" s="5" t="s">
        <v>285</v>
      </c>
      <c r="F1168" s="9">
        <v>5</v>
      </c>
      <c r="G1168" s="9">
        <v>45</v>
      </c>
      <c r="H1168" s="5" t="s">
        <v>21</v>
      </c>
      <c r="I1168" s="5" t="s">
        <v>3107</v>
      </c>
      <c r="J1168" s="12" t="str">
        <f>HYPERLINK("https://www.boe.es/gazeta/dias/1803/01/18/pdfs/GMD-1803-5.pdf#page=9","Abrir facsímil")</f>
        <v>Abrir facsímil</v>
      </c>
      <c r="K1168" s="15" t="s">
        <v>23</v>
      </c>
    </row>
    <row r="1169" spans="1:11" ht="42" customHeight="1">
      <c r="A1169" s="4" t="s">
        <v>3108</v>
      </c>
      <c r="B1169" s="5" t="s">
        <v>3109</v>
      </c>
      <c r="C1169" s="5" t="s">
        <v>51</v>
      </c>
      <c r="D1169" s="5" t="s">
        <v>52</v>
      </c>
      <c r="E1169" s="5" t="s">
        <v>174</v>
      </c>
      <c r="F1169" s="9">
        <v>21</v>
      </c>
      <c r="G1169" s="9">
        <v>225</v>
      </c>
      <c r="H1169" s="5" t="s">
        <v>21</v>
      </c>
      <c r="I1169" s="5" t="s">
        <v>3110</v>
      </c>
      <c r="J1169" s="12" t="str">
        <f>HYPERLINK("https://www.boe.es/gazeta/dias/1803/03/15/pdfs/GMD-1803-21.pdf#page=9","Abrir facsímil")</f>
        <v>Abrir facsímil</v>
      </c>
      <c r="K1169" s="15" t="s">
        <v>23</v>
      </c>
    </row>
    <row r="1170" spans="1:11" ht="42" customHeight="1">
      <c r="A1170" s="4" t="s">
        <v>3108</v>
      </c>
      <c r="B1170" s="5" t="s">
        <v>3109</v>
      </c>
      <c r="C1170" s="5" t="s">
        <v>225</v>
      </c>
      <c r="D1170" s="5" t="s">
        <v>226</v>
      </c>
      <c r="E1170" s="5" t="s">
        <v>609</v>
      </c>
      <c r="F1170" s="9">
        <v>57</v>
      </c>
      <c r="G1170" s="9">
        <v>622</v>
      </c>
      <c r="H1170" s="5" t="s">
        <v>21</v>
      </c>
      <c r="I1170" s="5" t="s">
        <v>3111</v>
      </c>
      <c r="J1170" s="12" t="str">
        <f>HYPERLINK("https://www.boe.es/gazeta/dias/1803/07/19/pdfs/GMD-C-1803-57.pdf#page=2","Abrir facsímil")</f>
        <v>Abrir facsímil</v>
      </c>
      <c r="K1170" s="15" t="s">
        <v>23</v>
      </c>
    </row>
    <row r="1171" spans="1:11" ht="42" customHeight="1">
      <c r="A1171" s="4" t="s">
        <v>3112</v>
      </c>
      <c r="B1171" s="5" t="s">
        <v>3113</v>
      </c>
      <c r="C1171" s="5" t="s">
        <v>51</v>
      </c>
      <c r="D1171" s="5" t="s">
        <v>52</v>
      </c>
      <c r="E1171" s="5" t="s">
        <v>113</v>
      </c>
      <c r="F1171" s="9">
        <v>93</v>
      </c>
      <c r="G1171" s="9">
        <v>997</v>
      </c>
      <c r="H1171" s="5" t="s">
        <v>21</v>
      </c>
      <c r="I1171" s="5" t="s">
        <v>3114</v>
      </c>
      <c r="J1171" s="12" t="str">
        <f>HYPERLINK("https://www.boe.es/gazeta/dias/1803/11/18/pdfs/GMD-1803-93.pdf#page=9","Abrir facsímil")</f>
        <v>Abrir facsímil</v>
      </c>
      <c r="K1171" s="15" t="s">
        <v>23</v>
      </c>
    </row>
    <row r="1172" spans="1:11" ht="42" customHeight="1">
      <c r="A1172" s="4" t="s">
        <v>3115</v>
      </c>
      <c r="B1172" s="5" t="s">
        <v>3116</v>
      </c>
      <c r="C1172" s="5" t="s">
        <v>26</v>
      </c>
      <c r="D1172" s="5" t="s">
        <v>27</v>
      </c>
      <c r="E1172" s="5" t="s">
        <v>657</v>
      </c>
      <c r="F1172" s="9">
        <v>24</v>
      </c>
      <c r="G1172" s="9">
        <v>256</v>
      </c>
      <c r="H1172" s="5" t="s">
        <v>21</v>
      </c>
      <c r="I1172" s="5" t="s">
        <v>3117</v>
      </c>
      <c r="J1172" s="12" t="str">
        <f>HYPERLINK("https://www.boe.es/gazeta/dias/1803/03/25/pdfs/GMD-1803-24.pdf#page=8","Abrir facsímil")</f>
        <v>Abrir facsímil</v>
      </c>
      <c r="K1172" s="15" t="s">
        <v>23</v>
      </c>
    </row>
    <row r="1173" spans="1:11" ht="42" customHeight="1">
      <c r="A1173" s="4" t="s">
        <v>3118</v>
      </c>
      <c r="B1173" s="5" t="s">
        <v>3119</v>
      </c>
      <c r="C1173" s="5" t="s">
        <v>26</v>
      </c>
      <c r="D1173" s="5" t="s">
        <v>27</v>
      </c>
      <c r="E1173" s="5" t="s">
        <v>124</v>
      </c>
      <c r="F1173" s="9">
        <v>20</v>
      </c>
      <c r="G1173" s="9">
        <v>210</v>
      </c>
      <c r="H1173" s="5" t="s">
        <v>21</v>
      </c>
      <c r="I1173" s="5" t="s">
        <v>3120</v>
      </c>
      <c r="J1173" s="12" t="str">
        <f>HYPERLINK("https://www.boe.es/gazeta/dias/1803/03/11/pdfs/GMD-1803-20.pdf#page=6","Abrir facsímil")</f>
        <v>Abrir facsímil</v>
      </c>
      <c r="K1173" s="15" t="s">
        <v>23</v>
      </c>
    </row>
    <row r="1174" spans="1:11" ht="42" customHeight="1">
      <c r="A1174" s="4" t="s">
        <v>3121</v>
      </c>
      <c r="B1174" s="5" t="s">
        <v>3122</v>
      </c>
      <c r="C1174" s="5" t="s">
        <v>26</v>
      </c>
      <c r="D1174" s="5" t="s">
        <v>27</v>
      </c>
      <c r="E1174" s="5" t="s">
        <v>514</v>
      </c>
      <c r="F1174" s="9">
        <v>42</v>
      </c>
      <c r="G1174" s="9">
        <v>440</v>
      </c>
      <c r="H1174" s="5" t="s">
        <v>21</v>
      </c>
      <c r="I1174" s="5" t="s">
        <v>3123</v>
      </c>
      <c r="J1174" s="12" t="str">
        <f>HYPERLINK("https://www.boe.es/gazeta/dias/1803/05/27/pdfs/GMD-1803-42.pdf#page=8","Abrir facsímil")</f>
        <v>Abrir facsímil</v>
      </c>
      <c r="K1174" s="15" t="s">
        <v>23</v>
      </c>
    </row>
    <row r="1175" spans="1:11" ht="42" customHeight="1">
      <c r="A1175" s="4" t="s">
        <v>3124</v>
      </c>
      <c r="B1175" s="5" t="s">
        <v>3125</v>
      </c>
      <c r="C1175" s="5" t="s">
        <v>26</v>
      </c>
      <c r="D1175" s="5" t="s">
        <v>27</v>
      </c>
      <c r="E1175" s="5" t="s">
        <v>919</v>
      </c>
      <c r="F1175" s="9">
        <v>69</v>
      </c>
      <c r="G1175" s="9">
        <v>749</v>
      </c>
      <c r="H1175" s="5" t="s">
        <v>21</v>
      </c>
      <c r="I1175" s="5" t="s">
        <v>3126</v>
      </c>
      <c r="J1175" s="12" t="str">
        <f>HYPERLINK("https://www.boe.es/gazeta/dias/1803/08/30/pdfs/GMD-1803-69.pdf#page=5","Abrir facsímil")</f>
        <v>Abrir facsímil</v>
      </c>
      <c r="K1175" s="15" t="s">
        <v>23</v>
      </c>
    </row>
    <row r="1176" spans="1:11" ht="42" customHeight="1">
      <c r="A1176" s="4" t="s">
        <v>3127</v>
      </c>
      <c r="B1176" s="5" t="s">
        <v>3128</v>
      </c>
      <c r="C1176" s="5" t="s">
        <v>26</v>
      </c>
      <c r="D1176" s="5" t="s">
        <v>27</v>
      </c>
      <c r="E1176" s="5" t="s">
        <v>1846</v>
      </c>
      <c r="F1176" s="9">
        <v>89</v>
      </c>
      <c r="G1176" s="9">
        <v>959</v>
      </c>
      <c r="H1176" s="5" t="s">
        <v>21</v>
      </c>
      <c r="I1176" s="5" t="s">
        <v>3129</v>
      </c>
      <c r="J1176" s="12" t="str">
        <f>HYPERLINK("https://www.boe.es/gazeta/dias/1803/11/04/pdfs/GMD-1803-89.pdf#page=7","Abrir facsímil")</f>
        <v>Abrir facsímil</v>
      </c>
      <c r="K1176" s="15" t="s">
        <v>23</v>
      </c>
    </row>
    <row r="1177" spans="1:11" ht="42" customHeight="1">
      <c r="A1177" s="4" t="s">
        <v>3130</v>
      </c>
      <c r="B1177" s="5" t="s">
        <v>3131</v>
      </c>
      <c r="C1177" s="5" t="s">
        <v>26</v>
      </c>
      <c r="D1177" s="5" t="s">
        <v>27</v>
      </c>
      <c r="E1177" s="5" t="s">
        <v>399</v>
      </c>
      <c r="F1177" s="9">
        <v>95</v>
      </c>
      <c r="G1177" s="9">
        <v>1018</v>
      </c>
      <c r="H1177" s="5" t="s">
        <v>21</v>
      </c>
      <c r="I1177" s="5" t="s">
        <v>3132</v>
      </c>
      <c r="J1177" s="12" t="str">
        <f>HYPERLINK("https://www.boe.es/gazeta/dias/1803/11/25/pdfs/GMD-1803-95.pdf#page=6","Abrir facsímil")</f>
        <v>Abrir facsímil</v>
      </c>
      <c r="K1177" s="15" t="s">
        <v>23</v>
      </c>
    </row>
    <row r="1178" spans="1:11" ht="42" customHeight="1">
      <c r="A1178" s="4" t="s">
        <v>3133</v>
      </c>
      <c r="B1178" s="5" t="s">
        <v>3134</v>
      </c>
      <c r="C1178" s="5" t="s">
        <v>26</v>
      </c>
      <c r="D1178" s="5" t="s">
        <v>27</v>
      </c>
      <c r="E1178" s="5" t="s">
        <v>148</v>
      </c>
      <c r="F1178" s="9">
        <v>15</v>
      </c>
      <c r="G1178" s="9">
        <v>157</v>
      </c>
      <c r="H1178" s="5" t="s">
        <v>21</v>
      </c>
      <c r="I1178" s="5" t="s">
        <v>3135</v>
      </c>
      <c r="J1178" s="12" t="str">
        <f>HYPERLINK("https://www.boe.es/gazeta/dias/1803/02/22/pdfs/GMD-1803-15.pdf#page=9","Abrir facsímil")</f>
        <v>Abrir facsímil</v>
      </c>
      <c r="K1178" s="15" t="s">
        <v>23</v>
      </c>
    </row>
    <row r="1179" spans="1:11" ht="42" customHeight="1">
      <c r="A1179" s="4" t="s">
        <v>3136</v>
      </c>
      <c r="B1179" s="5" t="s">
        <v>3137</v>
      </c>
      <c r="C1179" s="5" t="s">
        <v>26</v>
      </c>
      <c r="D1179" s="5" t="s">
        <v>27</v>
      </c>
      <c r="E1179" s="5" t="s">
        <v>285</v>
      </c>
      <c r="F1179" s="9">
        <v>5</v>
      </c>
      <c r="G1179" s="9">
        <v>46</v>
      </c>
      <c r="H1179" s="5" t="s">
        <v>21</v>
      </c>
      <c r="I1179" s="5" t="s">
        <v>3138</v>
      </c>
      <c r="J1179" s="12" t="str">
        <f>HYPERLINK("https://www.boe.es/gazeta/dias/1803/01/18/pdfs/GMD-1803-5.pdf#page=10","Abrir facsímil")</f>
        <v>Abrir facsímil</v>
      </c>
      <c r="K1179" s="15" t="s">
        <v>23</v>
      </c>
    </row>
    <row r="1180" spans="1:11" ht="42" customHeight="1">
      <c r="A1180" s="4" t="s">
        <v>3139</v>
      </c>
      <c r="B1180" s="5" t="s">
        <v>3140</v>
      </c>
      <c r="C1180" s="5" t="s">
        <v>26</v>
      </c>
      <c r="D1180" s="5" t="s">
        <v>27</v>
      </c>
      <c r="E1180" s="5" t="s">
        <v>42</v>
      </c>
      <c r="F1180" s="9">
        <v>10</v>
      </c>
      <c r="G1180" s="9">
        <v>103</v>
      </c>
      <c r="H1180" s="5" t="s">
        <v>21</v>
      </c>
      <c r="I1180" s="5" t="s">
        <v>3141</v>
      </c>
      <c r="J1180" s="12" t="str">
        <f>HYPERLINK("https://www.boe.es/gazeta/dias/1803/02/04/pdfs/GMD-1803-10.pdf#page=7","Abrir facsímil")</f>
        <v>Abrir facsímil</v>
      </c>
      <c r="K1180" s="15" t="s">
        <v>23</v>
      </c>
    </row>
    <row r="1181" spans="1:11" ht="42" customHeight="1">
      <c r="A1181" s="4" t="s">
        <v>3142</v>
      </c>
      <c r="B1181" s="5" t="s">
        <v>3143</v>
      </c>
      <c r="C1181" s="5" t="s">
        <v>40</v>
      </c>
      <c r="D1181" s="5" t="s">
        <v>41</v>
      </c>
      <c r="E1181" s="5" t="s">
        <v>1915</v>
      </c>
      <c r="F1181" s="9">
        <v>44</v>
      </c>
      <c r="G1181" s="9">
        <v>453</v>
      </c>
      <c r="H1181" s="5" t="s">
        <v>21</v>
      </c>
      <c r="I1181" s="5" t="s">
        <v>3144</v>
      </c>
      <c r="J1181" s="12" t="str">
        <f>HYPERLINK("https://www.boe.es/gazeta/dias/1803/06/03/pdfs/GMD-1803-44.pdf#page=1","Abrir facsímil")</f>
        <v>Abrir facsímil</v>
      </c>
      <c r="K1181" s="15" t="s">
        <v>23</v>
      </c>
    </row>
    <row r="1182" spans="1:11" ht="42" customHeight="1">
      <c r="A1182" s="4" t="s">
        <v>3145</v>
      </c>
      <c r="B1182" s="5" t="s">
        <v>3146</v>
      </c>
      <c r="C1182" s="5" t="s">
        <v>26</v>
      </c>
      <c r="D1182" s="5" t="s">
        <v>27</v>
      </c>
      <c r="E1182" s="5" t="s">
        <v>189</v>
      </c>
      <c r="F1182" s="9">
        <v>9</v>
      </c>
      <c r="G1182" s="9">
        <v>92</v>
      </c>
      <c r="H1182" s="5" t="s">
        <v>21</v>
      </c>
      <c r="I1182" s="5" t="s">
        <v>3147</v>
      </c>
      <c r="J1182" s="12" t="str">
        <f>HYPERLINK("https://www.boe.es/gazeta/dias/1803/02/01/pdfs/GMD-1803-9.pdf#page=8","Abrir facsímil")</f>
        <v>Abrir facsímil</v>
      </c>
      <c r="K1182" s="15" t="s">
        <v>23</v>
      </c>
    </row>
    <row r="1183" spans="1:11" ht="42" customHeight="1">
      <c r="A1183" s="4" t="s">
        <v>3148</v>
      </c>
      <c r="B1183" s="5" t="s">
        <v>3149</v>
      </c>
      <c r="C1183" s="5" t="s">
        <v>26</v>
      </c>
      <c r="D1183" s="5" t="s">
        <v>27</v>
      </c>
      <c r="E1183" s="5" t="s">
        <v>258</v>
      </c>
      <c r="F1183" s="9">
        <v>7</v>
      </c>
      <c r="G1183" s="9">
        <v>70</v>
      </c>
      <c r="H1183" s="5" t="s">
        <v>21</v>
      </c>
      <c r="I1183" s="5" t="s">
        <v>3150</v>
      </c>
      <c r="J1183" s="12" t="str">
        <f>HYPERLINK("https://www.boe.es/gazeta/dias/1803/01/25/pdfs/GMD-1803-7.pdf#page=10","Abrir facsímil")</f>
        <v>Abrir facsímil</v>
      </c>
      <c r="K1183" s="15" t="s">
        <v>23</v>
      </c>
    </row>
    <row r="1184" spans="1:11" ht="42" customHeight="1">
      <c r="A1184" s="4" t="s">
        <v>3151</v>
      </c>
      <c r="B1184" s="5" t="s">
        <v>3152</v>
      </c>
      <c r="C1184" s="5" t="s">
        <v>51</v>
      </c>
      <c r="D1184" s="5" t="s">
        <v>52</v>
      </c>
      <c r="E1184" s="5" t="s">
        <v>53</v>
      </c>
      <c r="F1184" s="9">
        <v>99</v>
      </c>
      <c r="G1184" s="9">
        <v>1062</v>
      </c>
      <c r="H1184" s="5" t="s">
        <v>21</v>
      </c>
      <c r="I1184" s="5" t="s">
        <v>3153</v>
      </c>
      <c r="J1184" s="12" t="str">
        <f>HYPERLINK("https://www.boe.es/gazeta/dias/1803/12/09/pdfs/GMD-1803-99.pdf#page=10","Abrir facsímil")</f>
        <v>Abrir facsímil</v>
      </c>
      <c r="K1184" s="15" t="s">
        <v>23</v>
      </c>
    </row>
    <row r="1185" spans="1:11" ht="42" customHeight="1">
      <c r="A1185" s="4" t="s">
        <v>3154</v>
      </c>
      <c r="B1185" s="5" t="s">
        <v>3155</v>
      </c>
      <c r="C1185" s="5" t="s">
        <v>80</v>
      </c>
      <c r="D1185" s="5" t="s">
        <v>81</v>
      </c>
      <c r="E1185" s="5" t="s">
        <v>68</v>
      </c>
      <c r="F1185" s="9">
        <v>23</v>
      </c>
      <c r="G1185" s="9">
        <v>248</v>
      </c>
      <c r="H1185" s="5" t="s">
        <v>21</v>
      </c>
      <c r="I1185" s="5" t="s">
        <v>3156</v>
      </c>
      <c r="J1185" s="12" t="str">
        <f>HYPERLINK("https://www.boe.es/gazeta/dias/1803/03/22/pdfs/GMD-1803-23.pdf#page=8","Abrir facsímil")</f>
        <v>Abrir facsímil</v>
      </c>
      <c r="K1185" s="15" t="s">
        <v>23</v>
      </c>
    </row>
    <row r="1186" spans="1:11" ht="42" customHeight="1">
      <c r="A1186" s="4" t="s">
        <v>3157</v>
      </c>
      <c r="B1186" s="5" t="s">
        <v>3158</v>
      </c>
      <c r="C1186" s="5" t="s">
        <v>51</v>
      </c>
      <c r="D1186" s="5" t="s">
        <v>52</v>
      </c>
      <c r="E1186" s="5" t="s">
        <v>93</v>
      </c>
      <c r="F1186" s="9">
        <v>43</v>
      </c>
      <c r="G1186" s="9">
        <v>451</v>
      </c>
      <c r="H1186" s="5" t="s">
        <v>21</v>
      </c>
      <c r="I1186" s="5" t="s">
        <v>3159</v>
      </c>
      <c r="J1186" s="12" t="str">
        <f>HYPERLINK("https://www.boe.es/gazeta/dias/1803/05/31/pdfs/GMD-1803-43.pdf#page=11","Abrir facsímil")</f>
        <v>Abrir facsímil</v>
      </c>
      <c r="K1186" s="15" t="s">
        <v>23</v>
      </c>
    </row>
    <row r="1187" spans="1:11" ht="42" customHeight="1">
      <c r="A1187" s="4" t="s">
        <v>3160</v>
      </c>
      <c r="B1187" s="5" t="s">
        <v>3161</v>
      </c>
      <c r="C1187" s="5" t="s">
        <v>26</v>
      </c>
      <c r="D1187" s="5" t="s">
        <v>27</v>
      </c>
      <c r="E1187" s="5" t="s">
        <v>606</v>
      </c>
      <c r="F1187" s="9">
        <v>47</v>
      </c>
      <c r="G1187" s="9">
        <v>499</v>
      </c>
      <c r="H1187" s="5" t="s">
        <v>21</v>
      </c>
      <c r="I1187" s="5" t="s">
        <v>3162</v>
      </c>
      <c r="J1187" s="12" t="str">
        <f>HYPERLINK("https://www.boe.es/gazeta/dias/1803/06/14/pdfs/GMD-1803-47.pdf#page=11","Abrir facsímil")</f>
        <v>Abrir facsímil</v>
      </c>
      <c r="K1187" s="15" t="s">
        <v>23</v>
      </c>
    </row>
    <row r="1188" spans="1:11" ht="42" customHeight="1">
      <c r="A1188" s="4" t="s">
        <v>3160</v>
      </c>
      <c r="B1188" s="5" t="s">
        <v>3161</v>
      </c>
      <c r="C1188" s="5" t="s">
        <v>26</v>
      </c>
      <c r="D1188" s="5" t="s">
        <v>27</v>
      </c>
      <c r="E1188" s="5" t="s">
        <v>113</v>
      </c>
      <c r="F1188" s="9">
        <v>93</v>
      </c>
      <c r="G1188" s="9">
        <v>1000</v>
      </c>
      <c r="H1188" s="5" t="s">
        <v>21</v>
      </c>
      <c r="I1188" s="5" t="s">
        <v>3163</v>
      </c>
      <c r="J1188" s="12" t="str">
        <f>HYPERLINK("https://www.boe.es/gazeta/dias/1803/11/18/pdfs/GMD-1803-93.pdf#page=12","Abrir facsímil")</f>
        <v>Abrir facsímil</v>
      </c>
      <c r="K1188" s="15" t="s">
        <v>23</v>
      </c>
    </row>
    <row r="1189" spans="1:11" ht="42" customHeight="1">
      <c r="A1189" s="4" t="s">
        <v>3164</v>
      </c>
      <c r="B1189" s="5" t="s">
        <v>3165</v>
      </c>
      <c r="C1189" s="5" t="s">
        <v>26</v>
      </c>
      <c r="D1189" s="5" t="s">
        <v>27</v>
      </c>
      <c r="E1189" s="5" t="s">
        <v>148</v>
      </c>
      <c r="F1189" s="9">
        <v>15</v>
      </c>
      <c r="G1189" s="9">
        <v>157</v>
      </c>
      <c r="H1189" s="5" t="s">
        <v>21</v>
      </c>
      <c r="I1189" s="5" t="s">
        <v>3166</v>
      </c>
      <c r="J1189" s="12" t="str">
        <f>HYPERLINK("https://www.boe.es/gazeta/dias/1803/02/22/pdfs/GMD-1803-15.pdf#page=9","Abrir facsímil")</f>
        <v>Abrir facsímil</v>
      </c>
      <c r="K1189" s="15" t="s">
        <v>23</v>
      </c>
    </row>
    <row r="1190" spans="1:11" ht="42" customHeight="1">
      <c r="A1190" s="4" t="s">
        <v>3167</v>
      </c>
      <c r="B1190" s="5" t="s">
        <v>3168</v>
      </c>
      <c r="C1190" s="5" t="s">
        <v>80</v>
      </c>
      <c r="D1190" s="5" t="s">
        <v>81</v>
      </c>
      <c r="E1190" s="5" t="s">
        <v>71</v>
      </c>
      <c r="F1190" s="9">
        <v>39</v>
      </c>
      <c r="G1190" s="9">
        <v>415</v>
      </c>
      <c r="H1190" s="5" t="s">
        <v>21</v>
      </c>
      <c r="I1190" s="5" t="s">
        <v>3169</v>
      </c>
      <c r="J1190" s="12" t="str">
        <f>HYPERLINK("https://www.boe.es/gazeta/dias/1803/05/17/pdfs/GMD-1803-39.pdf#page=11","Abrir facsímil")</f>
        <v>Abrir facsímil</v>
      </c>
      <c r="K1190" s="15" t="s">
        <v>23</v>
      </c>
    </row>
    <row r="1191" spans="1:11" ht="42" customHeight="1">
      <c r="A1191" s="4" t="s">
        <v>3170</v>
      </c>
      <c r="B1191" s="5" t="s">
        <v>3171</v>
      </c>
      <c r="C1191" s="5" t="s">
        <v>26</v>
      </c>
      <c r="D1191" s="5" t="s">
        <v>27</v>
      </c>
      <c r="E1191" s="5" t="s">
        <v>160</v>
      </c>
      <c r="F1191" s="9">
        <v>81</v>
      </c>
      <c r="G1191" s="9">
        <v>872</v>
      </c>
      <c r="H1191" s="5" t="s">
        <v>21</v>
      </c>
      <c r="I1191" s="5" t="s">
        <v>3172</v>
      </c>
      <c r="J1191" s="12" t="str">
        <f>HYPERLINK("https://www.boe.es/gazeta/dias/1803/10/07/pdfs/GMD-1803-81.pdf#page=8","Abrir facsímil")</f>
        <v>Abrir facsímil</v>
      </c>
      <c r="K1191" s="15" t="s">
        <v>23</v>
      </c>
    </row>
    <row r="1192" spans="1:11" ht="42" customHeight="1">
      <c r="A1192" s="4" t="s">
        <v>3173</v>
      </c>
      <c r="B1192" s="5" t="s">
        <v>3174</v>
      </c>
      <c r="C1192" s="5" t="s">
        <v>26</v>
      </c>
      <c r="D1192" s="5" t="s">
        <v>27</v>
      </c>
      <c r="E1192" s="5" t="s">
        <v>519</v>
      </c>
      <c r="F1192" s="9">
        <v>50</v>
      </c>
      <c r="G1192" s="9">
        <v>541</v>
      </c>
      <c r="H1192" s="5" t="s">
        <v>21</v>
      </c>
      <c r="I1192" s="5" t="s">
        <v>3175</v>
      </c>
      <c r="J1192" s="12" t="str">
        <f>HYPERLINK("https://www.boe.es/gazeta/dias/1803/06/24/pdfs/GMD-1803-50.pdf#page=9","Abrir facsímil")</f>
        <v>Abrir facsímil</v>
      </c>
      <c r="K1192" s="15" t="s">
        <v>23</v>
      </c>
    </row>
    <row r="1193" spans="1:11" ht="42" customHeight="1">
      <c r="A1193" s="4" t="s">
        <v>3176</v>
      </c>
      <c r="B1193" s="5" t="s">
        <v>3177</v>
      </c>
      <c r="C1193" s="5" t="s">
        <v>26</v>
      </c>
      <c r="D1193" s="5" t="s">
        <v>27</v>
      </c>
      <c r="E1193" s="5" t="s">
        <v>102</v>
      </c>
      <c r="F1193" s="9">
        <v>31</v>
      </c>
      <c r="G1193" s="9">
        <v>326</v>
      </c>
      <c r="H1193" s="5" t="s">
        <v>21</v>
      </c>
      <c r="I1193" s="5" t="s">
        <v>3178</v>
      </c>
      <c r="J1193" s="12" t="str">
        <f>HYPERLINK("https://www.boe.es/gazeta/dias/1803/04/19/pdfs/GMD-1803-31.pdf#page=6","Abrir facsímil")</f>
        <v>Abrir facsímil</v>
      </c>
      <c r="K1193" s="15" t="s">
        <v>23</v>
      </c>
    </row>
    <row r="1194" spans="1:11" ht="42" customHeight="1">
      <c r="A1194" s="4" t="s">
        <v>3179</v>
      </c>
      <c r="B1194" s="5" t="s">
        <v>3180</v>
      </c>
      <c r="C1194" s="5" t="s">
        <v>80</v>
      </c>
      <c r="D1194" s="5" t="s">
        <v>81</v>
      </c>
      <c r="E1194" s="5" t="s">
        <v>300</v>
      </c>
      <c r="F1194" s="9">
        <v>96</v>
      </c>
      <c r="G1194" s="9">
        <v>1036</v>
      </c>
      <c r="H1194" s="5" t="s">
        <v>21</v>
      </c>
      <c r="I1194" s="5" t="s">
        <v>3181</v>
      </c>
      <c r="J1194" s="12" t="str">
        <f>HYPERLINK("https://www.boe.es/gazeta/dias/1803/11/29/pdfs/GMD-1803-96.pdf#page=12","Abrir facsímil")</f>
        <v>Abrir facsímil</v>
      </c>
      <c r="K1194" s="15" t="s">
        <v>23</v>
      </c>
    </row>
    <row r="1195" spans="1:11" ht="42" customHeight="1">
      <c r="A1195" s="4" t="s">
        <v>3182</v>
      </c>
      <c r="B1195" s="5" t="s">
        <v>3183</v>
      </c>
      <c r="C1195" s="5" t="s">
        <v>225</v>
      </c>
      <c r="D1195" s="5" t="s">
        <v>226</v>
      </c>
      <c r="E1195" s="5" t="s">
        <v>191</v>
      </c>
      <c r="F1195" s="9">
        <v>34</v>
      </c>
      <c r="G1195" s="9" t="s">
        <v>227</v>
      </c>
      <c r="H1195" s="5" t="s">
        <v>21</v>
      </c>
      <c r="I1195" s="5" t="s">
        <v>3184</v>
      </c>
      <c r="J1195" s="12" t="str">
        <f>HYPERLINK("https://www.boe.es/gazeta/dias/1803/04/29/pdfs/GMD-C-1803-34.pdf#page=7","Abrir facsímil")</f>
        <v>Abrir facsímil</v>
      </c>
      <c r="K1195" s="15" t="s">
        <v>23</v>
      </c>
    </row>
    <row r="1196" spans="1:11" ht="42" customHeight="1">
      <c r="A1196" s="4" t="s">
        <v>3185</v>
      </c>
      <c r="B1196" s="5" t="s">
        <v>3186</v>
      </c>
      <c r="C1196" s="5" t="s">
        <v>26</v>
      </c>
      <c r="D1196" s="5" t="s">
        <v>27</v>
      </c>
      <c r="E1196" s="5" t="s">
        <v>1915</v>
      </c>
      <c r="F1196" s="9">
        <v>44</v>
      </c>
      <c r="G1196" s="9">
        <v>455</v>
      </c>
      <c r="H1196" s="5" t="s">
        <v>21</v>
      </c>
      <c r="I1196" s="5" t="s">
        <v>3187</v>
      </c>
      <c r="J1196" s="12" t="str">
        <f>HYPERLINK("https://www.boe.es/gazeta/dias/1803/06/03/pdfs/GMD-1803-44.pdf#page=3","Abrir facsímil")</f>
        <v>Abrir facsímil</v>
      </c>
      <c r="K1196" s="15" t="s">
        <v>23</v>
      </c>
    </row>
    <row r="1197" spans="1:11" ht="42" customHeight="1">
      <c r="A1197" s="4" t="s">
        <v>3188</v>
      </c>
      <c r="B1197" s="5" t="s">
        <v>3189</v>
      </c>
      <c r="C1197" s="5" t="s">
        <v>26</v>
      </c>
      <c r="D1197" s="5" t="s">
        <v>27</v>
      </c>
      <c r="E1197" s="5" t="s">
        <v>124</v>
      </c>
      <c r="F1197" s="9">
        <v>20</v>
      </c>
      <c r="G1197" s="9">
        <v>209</v>
      </c>
      <c r="H1197" s="5" t="s">
        <v>21</v>
      </c>
      <c r="I1197" s="5" t="s">
        <v>3190</v>
      </c>
      <c r="J1197" s="12" t="str">
        <f>HYPERLINK("https://www.boe.es/gazeta/dias/1803/03/11/pdfs/GMD-1803-20.pdf#page=5","Abrir facsímil")</f>
        <v>Abrir facsímil</v>
      </c>
      <c r="K1197" s="15" t="s">
        <v>23</v>
      </c>
    </row>
    <row r="1198" spans="1:11" ht="42" customHeight="1">
      <c r="A1198" s="4" t="s">
        <v>3191</v>
      </c>
      <c r="B1198" s="5" t="s">
        <v>3192</v>
      </c>
      <c r="C1198" s="5" t="s">
        <v>26</v>
      </c>
      <c r="D1198" s="5" t="s">
        <v>27</v>
      </c>
      <c r="E1198" s="5" t="s">
        <v>919</v>
      </c>
      <c r="F1198" s="9">
        <v>69</v>
      </c>
      <c r="G1198" s="9">
        <v>750</v>
      </c>
      <c r="H1198" s="5" t="s">
        <v>21</v>
      </c>
      <c r="I1198" s="5" t="s">
        <v>3193</v>
      </c>
      <c r="J1198" s="12" t="str">
        <f>HYPERLINK("https://www.boe.es/gazeta/dias/1803/08/30/pdfs/GMD-1803-69.pdf#page=6","Abrir facsímil")</f>
        <v>Abrir facsímil</v>
      </c>
      <c r="K1198" s="15" t="s">
        <v>23</v>
      </c>
    </row>
    <row r="1199" spans="1:11" ht="42" customHeight="1">
      <c r="A1199" s="4" t="s">
        <v>3194</v>
      </c>
      <c r="B1199" s="5" t="s">
        <v>3195</v>
      </c>
      <c r="C1199" s="5" t="s">
        <v>80</v>
      </c>
      <c r="D1199" s="5" t="s">
        <v>81</v>
      </c>
      <c r="E1199" s="5" t="s">
        <v>61</v>
      </c>
      <c r="F1199" s="9">
        <v>67</v>
      </c>
      <c r="G1199" s="9">
        <v>732</v>
      </c>
      <c r="H1199" s="5" t="s">
        <v>21</v>
      </c>
      <c r="I1199" s="5" t="s">
        <v>3196</v>
      </c>
      <c r="J1199" s="12" t="str">
        <f>HYPERLINK("https://www.boe.es/gazeta/dias/1803/08/23/pdfs/GMD-1803-67.pdf#page=12","Abrir facsímil")</f>
        <v>Abrir facsímil</v>
      </c>
      <c r="K1199" s="15" t="s">
        <v>23</v>
      </c>
    </row>
    <row r="1200" spans="1:11" ht="42" customHeight="1">
      <c r="A1200" s="4" t="s">
        <v>3197</v>
      </c>
      <c r="B1200" s="5" t="s">
        <v>3198</v>
      </c>
      <c r="C1200" s="5" t="s">
        <v>26</v>
      </c>
      <c r="D1200" s="5" t="s">
        <v>27</v>
      </c>
      <c r="E1200" s="5" t="s">
        <v>501</v>
      </c>
      <c r="F1200" s="9">
        <v>22</v>
      </c>
      <c r="G1200" s="9">
        <v>237</v>
      </c>
      <c r="H1200" s="5" t="s">
        <v>21</v>
      </c>
      <c r="I1200" s="5" t="s">
        <v>3199</v>
      </c>
      <c r="J1200" s="12" t="str">
        <f>HYPERLINK("https://www.boe.es/gazeta/dias/1803/03/18/pdfs/GMD-1803-22.pdf#page=9","Abrir facsímil")</f>
        <v>Abrir facsímil</v>
      </c>
      <c r="K1200" s="15" t="s">
        <v>23</v>
      </c>
    </row>
    <row r="1201" spans="1:11" ht="42" customHeight="1">
      <c r="A1201" s="4" t="s">
        <v>3200</v>
      </c>
      <c r="B1201" s="5" t="s">
        <v>3201</v>
      </c>
      <c r="C1201" s="5" t="s">
        <v>46</v>
      </c>
      <c r="D1201" s="5" t="s">
        <v>19</v>
      </c>
      <c r="E1201" s="5" t="s">
        <v>303</v>
      </c>
      <c r="F1201" s="9">
        <v>8</v>
      </c>
      <c r="G1201" s="9">
        <v>80</v>
      </c>
      <c r="H1201" s="5" t="s">
        <v>21</v>
      </c>
      <c r="I1201" s="5" t="s">
        <v>3202</v>
      </c>
      <c r="J1201" s="12" t="str">
        <f>HYPERLINK("https://www.boe.es/gazeta/dias/1803/01/28/pdfs/GMD-1803-8.pdf#page=8","Abrir facsímil")</f>
        <v>Abrir facsímil</v>
      </c>
      <c r="K1201" s="15" t="s">
        <v>23</v>
      </c>
    </row>
    <row r="1202" spans="1:11" ht="42" customHeight="1">
      <c r="A1202" s="4" t="s">
        <v>3203</v>
      </c>
      <c r="B1202" s="5" t="s">
        <v>3204</v>
      </c>
      <c r="C1202" s="5" t="s">
        <v>26</v>
      </c>
      <c r="D1202" s="5" t="s">
        <v>27</v>
      </c>
      <c r="E1202" s="5" t="s">
        <v>328</v>
      </c>
      <c r="F1202" s="9">
        <v>54</v>
      </c>
      <c r="G1202" s="9">
        <v>590</v>
      </c>
      <c r="H1202" s="5" t="s">
        <v>21</v>
      </c>
      <c r="I1202" s="5" t="s">
        <v>3205</v>
      </c>
      <c r="J1202" s="12" t="str">
        <f>HYPERLINK("https://www.boe.es/gazeta/dias/1803/07/08/pdfs/GMD-1803-54.pdf#page=10","Abrir facsímil")</f>
        <v>Abrir facsímil</v>
      </c>
      <c r="K1202" s="15" t="s">
        <v>23</v>
      </c>
    </row>
    <row r="1203" spans="1:11" ht="42" customHeight="1">
      <c r="A1203" s="4" t="s">
        <v>3206</v>
      </c>
      <c r="B1203" s="5" t="s">
        <v>3207</v>
      </c>
      <c r="C1203" s="5" t="s">
        <v>51</v>
      </c>
      <c r="D1203" s="5" t="s">
        <v>52</v>
      </c>
      <c r="E1203" s="5" t="s">
        <v>71</v>
      </c>
      <c r="F1203" s="9">
        <v>39</v>
      </c>
      <c r="G1203" s="9">
        <v>414</v>
      </c>
      <c r="H1203" s="5" t="s">
        <v>21</v>
      </c>
      <c r="I1203" s="5" t="s">
        <v>3208</v>
      </c>
      <c r="J1203" s="12" t="str">
        <f>HYPERLINK("https://www.boe.es/gazeta/dias/1803/05/17/pdfs/GMD-1803-39.pdf#page=10","Abrir facsímil")</f>
        <v>Abrir facsímil</v>
      </c>
      <c r="K1203" s="15" t="s">
        <v>23</v>
      </c>
    </row>
    <row r="1204" spans="1:11" ht="42" customHeight="1">
      <c r="A1204" s="4" t="s">
        <v>3209</v>
      </c>
      <c r="B1204" s="5" t="s">
        <v>3210</v>
      </c>
      <c r="C1204" s="5" t="s">
        <v>18</v>
      </c>
      <c r="D1204" s="5" t="s">
        <v>19</v>
      </c>
      <c r="E1204" s="5" t="s">
        <v>1915</v>
      </c>
      <c r="F1204" s="9">
        <v>44</v>
      </c>
      <c r="G1204" s="9">
        <v>459</v>
      </c>
      <c r="H1204" s="5" t="s">
        <v>21</v>
      </c>
      <c r="I1204" s="5" t="s">
        <v>3211</v>
      </c>
      <c r="J1204" s="12" t="str">
        <f>HYPERLINK("https://www.boe.es/gazeta/dias/1803/06/03/pdfs/GMD-1803-44.pdf#page=7","Abrir facsímil")</f>
        <v>Abrir facsímil</v>
      </c>
      <c r="K1204" s="15" t="s">
        <v>23</v>
      </c>
    </row>
    <row r="1205" spans="1:11" ht="42" customHeight="1">
      <c r="A1205" s="4" t="s">
        <v>3212</v>
      </c>
      <c r="B1205" s="5" t="s">
        <v>3213</v>
      </c>
      <c r="C1205" s="5" t="s">
        <v>18</v>
      </c>
      <c r="D1205" s="5" t="s">
        <v>19</v>
      </c>
      <c r="E1205" s="5" t="s">
        <v>332</v>
      </c>
      <c r="F1205" s="9">
        <v>11</v>
      </c>
      <c r="G1205" s="9">
        <v>111</v>
      </c>
      <c r="H1205" s="5" t="s">
        <v>21</v>
      </c>
      <c r="I1205" s="5" t="s">
        <v>3214</v>
      </c>
      <c r="J1205" s="12" t="str">
        <f>HYPERLINK("https://www.boe.es/gazeta/dias/1803/02/08/pdfs/GMD-1803-11.pdf#page=7","Abrir facsímil")</f>
        <v>Abrir facsímil</v>
      </c>
      <c r="K1205" s="15" t="s">
        <v>23</v>
      </c>
    </row>
    <row r="1206" spans="1:11" ht="42" customHeight="1">
      <c r="A1206" s="4" t="s">
        <v>3215</v>
      </c>
      <c r="B1206" s="5" t="s">
        <v>3216</v>
      </c>
      <c r="C1206" s="5" t="s">
        <v>51</v>
      </c>
      <c r="D1206" s="5" t="s">
        <v>52</v>
      </c>
      <c r="E1206" s="5" t="s">
        <v>289</v>
      </c>
      <c r="F1206" s="9">
        <v>38</v>
      </c>
      <c r="G1206" s="9">
        <v>402</v>
      </c>
      <c r="H1206" s="5" t="s">
        <v>21</v>
      </c>
      <c r="I1206" s="5" t="s">
        <v>3217</v>
      </c>
      <c r="J1206" s="12" t="str">
        <f>HYPERLINK("https://www.boe.es/gazeta/dias/1803/05/13/pdfs/GMD-1803-38.pdf#page=10","Abrir facsímil")</f>
        <v>Abrir facsímil</v>
      </c>
      <c r="K1206" s="15" t="s">
        <v>23</v>
      </c>
    </row>
    <row r="1207" spans="1:11" ht="42" customHeight="1">
      <c r="A1207" s="4" t="s">
        <v>3218</v>
      </c>
      <c r="B1207" s="5" t="s">
        <v>3219</v>
      </c>
      <c r="C1207" s="5" t="s">
        <v>26</v>
      </c>
      <c r="D1207" s="5" t="s">
        <v>27</v>
      </c>
      <c r="E1207" s="5" t="s">
        <v>203</v>
      </c>
      <c r="F1207" s="9">
        <v>32</v>
      </c>
      <c r="G1207" s="9">
        <v>336</v>
      </c>
      <c r="H1207" s="5" t="s">
        <v>21</v>
      </c>
      <c r="I1207" s="5" t="s">
        <v>3220</v>
      </c>
      <c r="J1207" s="12" t="str">
        <f>HYPERLINK("https://www.boe.es/gazeta/dias/1803/04/22/pdfs/GMD-1803-32.pdf#page=8","Abrir facsímil")</f>
        <v>Abrir facsímil</v>
      </c>
      <c r="K1207" s="15" t="s">
        <v>23</v>
      </c>
    </row>
    <row r="1208" spans="1:11" ht="42" customHeight="1">
      <c r="A1208" s="4" t="s">
        <v>3221</v>
      </c>
      <c r="B1208" s="5" t="s">
        <v>3222</v>
      </c>
      <c r="C1208" s="5" t="s">
        <v>26</v>
      </c>
      <c r="D1208" s="5" t="s">
        <v>27</v>
      </c>
      <c r="E1208" s="5" t="s">
        <v>36</v>
      </c>
      <c r="F1208" s="9">
        <v>79</v>
      </c>
      <c r="G1208" s="9">
        <v>855</v>
      </c>
      <c r="H1208" s="5" t="s">
        <v>21</v>
      </c>
      <c r="I1208" s="5" t="s">
        <v>3223</v>
      </c>
      <c r="J1208" s="12" t="str">
        <f>HYPERLINK("https://www.boe.es/gazeta/dias/1803/09/30/pdfs/GMD-1803-79.pdf#page=7","Abrir facsímil")</f>
        <v>Abrir facsímil</v>
      </c>
      <c r="K1208" s="15" t="s">
        <v>23</v>
      </c>
    </row>
    <row r="1209" spans="1:11" ht="42" customHeight="1">
      <c r="A1209" s="4" t="s">
        <v>3224</v>
      </c>
      <c r="B1209" s="5" t="s">
        <v>3225</v>
      </c>
      <c r="C1209" s="5" t="s">
        <v>40</v>
      </c>
      <c r="D1209" s="5" t="s">
        <v>41</v>
      </c>
      <c r="E1209" s="5" t="s">
        <v>64</v>
      </c>
      <c r="F1209" s="9">
        <v>65</v>
      </c>
      <c r="G1209" s="9">
        <v>703</v>
      </c>
      <c r="H1209" s="5" t="s">
        <v>21</v>
      </c>
      <c r="I1209" s="5" t="s">
        <v>3226</v>
      </c>
      <c r="J1209" s="12" t="str">
        <f>HYPERLINK("https://www.boe.es/gazeta/dias/1803/08/16/pdfs/GMD-1803-65.pdf#page=3","Abrir facsímil")</f>
        <v>Abrir facsímil</v>
      </c>
      <c r="K1209" s="15" t="s">
        <v>23</v>
      </c>
    </row>
    <row r="1210" spans="1:11" ht="42" customHeight="1">
      <c r="A1210" s="4" t="s">
        <v>3227</v>
      </c>
      <c r="B1210" s="5" t="s">
        <v>3228</v>
      </c>
      <c r="C1210" s="5" t="s">
        <v>26</v>
      </c>
      <c r="D1210" s="5" t="s">
        <v>27</v>
      </c>
      <c r="E1210" s="5" t="s">
        <v>795</v>
      </c>
      <c r="F1210" s="9">
        <v>98</v>
      </c>
      <c r="G1210" s="9">
        <v>1051</v>
      </c>
      <c r="H1210" s="5" t="s">
        <v>21</v>
      </c>
      <c r="I1210" s="5" t="s">
        <v>3229</v>
      </c>
      <c r="J1210" s="12" t="str">
        <f>HYPERLINK("https://www.boe.es/gazeta/dias/1803/12/06/pdfs/GMD-1803-98.pdf#page=7","Abrir facsímil")</f>
        <v>Abrir facsímil</v>
      </c>
      <c r="K1210" s="15" t="s">
        <v>23</v>
      </c>
    </row>
    <row r="1211" spans="1:11" ht="42" customHeight="1">
      <c r="A1211" s="4" t="s">
        <v>3230</v>
      </c>
      <c r="B1211" s="5" t="s">
        <v>3231</v>
      </c>
      <c r="C1211" s="5" t="s">
        <v>26</v>
      </c>
      <c r="D1211" s="5" t="s">
        <v>27</v>
      </c>
      <c r="E1211" s="5" t="s">
        <v>261</v>
      </c>
      <c r="F1211" s="9">
        <v>70</v>
      </c>
      <c r="G1211" s="9">
        <v>767</v>
      </c>
      <c r="H1211" s="5" t="s">
        <v>21</v>
      </c>
      <c r="I1211" s="5" t="s">
        <v>3232</v>
      </c>
      <c r="J1211" s="12" t="str">
        <f>HYPERLINK("https://www.boe.es/gazeta/dias/1803/09/02/pdfs/GMD-1803-70.pdf#page=7","Abrir facsímil")</f>
        <v>Abrir facsímil</v>
      </c>
      <c r="K1211" s="15" t="s">
        <v>23</v>
      </c>
    </row>
    <row r="1212" spans="1:11" ht="42" customHeight="1">
      <c r="A1212" s="4" t="s">
        <v>3233</v>
      </c>
      <c r="B1212" s="5" t="s">
        <v>3234</v>
      </c>
      <c r="C1212" s="5" t="s">
        <v>51</v>
      </c>
      <c r="D1212" s="5" t="s">
        <v>52</v>
      </c>
      <c r="E1212" s="5" t="s">
        <v>57</v>
      </c>
      <c r="F1212" s="9">
        <v>51</v>
      </c>
      <c r="G1212" s="9">
        <v>553</v>
      </c>
      <c r="H1212" s="5" t="s">
        <v>21</v>
      </c>
      <c r="I1212" s="5" t="s">
        <v>3235</v>
      </c>
      <c r="J1212" s="12" t="str">
        <f>HYPERLINK("https://www.boe.es/gazeta/dias/1803/06/28/pdfs/GMD-1803-51.pdf#page=9","Abrir facsímil")</f>
        <v>Abrir facsímil</v>
      </c>
      <c r="K1212" s="15" t="s">
        <v>23</v>
      </c>
    </row>
    <row r="1213" spans="1:11" ht="42" customHeight="1">
      <c r="A1213" s="4" t="s">
        <v>3236</v>
      </c>
      <c r="B1213" s="5" t="s">
        <v>3237</v>
      </c>
      <c r="C1213" s="5" t="s">
        <v>80</v>
      </c>
      <c r="D1213" s="5" t="s">
        <v>81</v>
      </c>
      <c r="E1213" s="5" t="s">
        <v>32</v>
      </c>
      <c r="F1213" s="9">
        <v>74</v>
      </c>
      <c r="G1213" s="9">
        <v>804</v>
      </c>
      <c r="H1213" s="5" t="s">
        <v>21</v>
      </c>
      <c r="I1213" s="5" t="s">
        <v>3238</v>
      </c>
      <c r="J1213" s="12" t="str">
        <f>HYPERLINK("https://www.boe.es/gazeta/dias/1803/09/13/pdfs/GMD-1803-74.pdf#page=8","Abrir facsímil")</f>
        <v>Abrir facsímil</v>
      </c>
      <c r="K1213" s="15" t="s">
        <v>23</v>
      </c>
    </row>
    <row r="1214" spans="1:11" ht="42" customHeight="1">
      <c r="A1214" s="4" t="s">
        <v>3239</v>
      </c>
      <c r="B1214" s="5" t="s">
        <v>3240</v>
      </c>
      <c r="C1214" s="5" t="s">
        <v>18</v>
      </c>
      <c r="D1214" s="5" t="s">
        <v>19</v>
      </c>
      <c r="E1214" s="5" t="s">
        <v>263</v>
      </c>
      <c r="F1214" s="9">
        <v>75</v>
      </c>
      <c r="G1214" s="9">
        <v>811</v>
      </c>
      <c r="H1214" s="5" t="s">
        <v>21</v>
      </c>
      <c r="I1214" s="5" t="s">
        <v>3241</v>
      </c>
      <c r="J1214" s="12" t="str">
        <f>HYPERLINK("https://www.boe.es/gazeta/dias/1803/09/16/pdfs/GMD-1803-75.pdf#page=7","Abrir facsímil")</f>
        <v>Abrir facsímil</v>
      </c>
      <c r="K1214" s="15" t="s">
        <v>23</v>
      </c>
    </row>
    <row r="1215" spans="1:11" ht="42" customHeight="1">
      <c r="A1215" s="4" t="s">
        <v>3242</v>
      </c>
      <c r="B1215" s="5" t="s">
        <v>3243</v>
      </c>
      <c r="C1215" s="5" t="s">
        <v>26</v>
      </c>
      <c r="D1215" s="5" t="s">
        <v>27</v>
      </c>
      <c r="E1215" s="5" t="s">
        <v>555</v>
      </c>
      <c r="F1215" s="9">
        <v>83</v>
      </c>
      <c r="G1215" s="9">
        <v>894</v>
      </c>
      <c r="H1215" s="5" t="s">
        <v>21</v>
      </c>
      <c r="I1215" s="5" t="s">
        <v>3244</v>
      </c>
      <c r="J1215" s="12" t="str">
        <f>HYPERLINK("https://www.boe.es/gazeta/dias/1803/10/14/pdfs/GMD-1803-83.pdf#page=6","Abrir facsímil")</f>
        <v>Abrir facsímil</v>
      </c>
      <c r="K1215" s="15" t="s">
        <v>23</v>
      </c>
    </row>
    <row r="1216" spans="1:11" ht="42" customHeight="1">
      <c r="A1216" s="4" t="s">
        <v>3245</v>
      </c>
      <c r="B1216" s="5" t="s">
        <v>3246</v>
      </c>
      <c r="C1216" s="5" t="s">
        <v>26</v>
      </c>
      <c r="D1216" s="5" t="s">
        <v>27</v>
      </c>
      <c r="E1216" s="5" t="s">
        <v>138</v>
      </c>
      <c r="F1216" s="9">
        <v>68</v>
      </c>
      <c r="G1216" s="9">
        <v>742</v>
      </c>
      <c r="H1216" s="5" t="s">
        <v>21</v>
      </c>
      <c r="I1216" s="5" t="s">
        <v>3247</v>
      </c>
      <c r="J1216" s="12" t="str">
        <f>HYPERLINK("https://www.boe.es/gazeta/dias/1803/08/26/pdfs/GMD-1803-68.pdf#page=10","Abrir facsímil")</f>
        <v>Abrir facsímil</v>
      </c>
      <c r="K1216" s="15" t="s">
        <v>23</v>
      </c>
    </row>
    <row r="1217" spans="1:11" ht="42" customHeight="1">
      <c r="A1217" s="4" t="s">
        <v>3248</v>
      </c>
      <c r="B1217" s="5" t="s">
        <v>3249</v>
      </c>
      <c r="C1217" s="5" t="s">
        <v>26</v>
      </c>
      <c r="D1217" s="5" t="s">
        <v>27</v>
      </c>
      <c r="E1217" s="5" t="s">
        <v>477</v>
      </c>
      <c r="F1217" s="9">
        <v>48</v>
      </c>
      <c r="G1217" s="9">
        <v>510</v>
      </c>
      <c r="H1217" s="5" t="s">
        <v>21</v>
      </c>
      <c r="I1217" s="5" t="s">
        <v>3250</v>
      </c>
      <c r="J1217" s="12" t="str">
        <f>HYPERLINK("https://www.boe.es/gazeta/dias/1803/06/17/pdfs/GMD-1803-48.pdf#page=10","Abrir facsímil")</f>
        <v>Abrir facsímil</v>
      </c>
      <c r="K1217" s="15" t="s">
        <v>23</v>
      </c>
    </row>
    <row r="1218" spans="1:11" ht="42" customHeight="1">
      <c r="A1218" s="4" t="s">
        <v>3251</v>
      </c>
      <c r="B1218" s="5" t="s">
        <v>3252</v>
      </c>
      <c r="C1218" s="5" t="s">
        <v>18</v>
      </c>
      <c r="D1218" s="5" t="s">
        <v>19</v>
      </c>
      <c r="E1218" s="5" t="s">
        <v>523</v>
      </c>
      <c r="F1218" s="9">
        <v>101</v>
      </c>
      <c r="G1218" s="9">
        <v>1086</v>
      </c>
      <c r="H1218" s="5" t="s">
        <v>21</v>
      </c>
      <c r="I1218" s="5" t="s">
        <v>3253</v>
      </c>
      <c r="J1218" s="12" t="str">
        <f>HYPERLINK("https://www.boe.es/gazeta/dias/1803/12/16/pdfs/GMD-1803-101.pdf#page=10","Abrir facsímil")</f>
        <v>Abrir facsímil</v>
      </c>
      <c r="K1218" s="15" t="s">
        <v>23</v>
      </c>
    </row>
    <row r="1219" spans="1:11" ht="42" customHeight="1">
      <c r="A1219" s="4" t="s">
        <v>3254</v>
      </c>
      <c r="B1219" s="5" t="s">
        <v>3255</v>
      </c>
      <c r="C1219" s="5" t="s">
        <v>26</v>
      </c>
      <c r="D1219" s="5" t="s">
        <v>27</v>
      </c>
      <c r="E1219" s="5" t="s">
        <v>332</v>
      </c>
      <c r="F1219" s="9">
        <v>11</v>
      </c>
      <c r="G1219" s="9">
        <v>110</v>
      </c>
      <c r="H1219" s="5" t="s">
        <v>21</v>
      </c>
      <c r="I1219" s="5" t="s">
        <v>3256</v>
      </c>
      <c r="J1219" s="12" t="str">
        <f>HYPERLINK("https://www.boe.es/gazeta/dias/1803/02/08/pdfs/GMD-1803-11.pdf#page=6","Abrir facsímil")</f>
        <v>Abrir facsímil</v>
      </c>
      <c r="K1219" s="15" t="s">
        <v>23</v>
      </c>
    </row>
    <row r="1220" spans="1:11" ht="42" customHeight="1">
      <c r="A1220" s="4" t="s">
        <v>3257</v>
      </c>
      <c r="B1220" s="5" t="s">
        <v>3258</v>
      </c>
      <c r="C1220" s="5" t="s">
        <v>26</v>
      </c>
      <c r="D1220" s="5" t="s">
        <v>27</v>
      </c>
      <c r="E1220" s="5" t="s">
        <v>657</v>
      </c>
      <c r="F1220" s="9">
        <v>24</v>
      </c>
      <c r="G1220" s="9">
        <v>254</v>
      </c>
      <c r="H1220" s="5" t="s">
        <v>21</v>
      </c>
      <c r="I1220" s="5" t="s">
        <v>3259</v>
      </c>
      <c r="J1220" s="12" t="str">
        <f>HYPERLINK("https://www.boe.es/gazeta/dias/1803/03/25/pdfs/GMD-1803-24.pdf#page=6","Abrir facsímil")</f>
        <v>Abrir facsímil</v>
      </c>
      <c r="K1220" s="15" t="s">
        <v>23</v>
      </c>
    </row>
    <row r="1221" spans="1:11" ht="42" customHeight="1">
      <c r="A1221" s="4" t="s">
        <v>3260</v>
      </c>
      <c r="B1221" s="5" t="s">
        <v>3261</v>
      </c>
      <c r="C1221" s="5" t="s">
        <v>18</v>
      </c>
      <c r="D1221" s="5" t="s">
        <v>19</v>
      </c>
      <c r="E1221" s="5" t="s">
        <v>910</v>
      </c>
      <c r="F1221" s="9">
        <v>66</v>
      </c>
      <c r="G1221" s="9">
        <v>720</v>
      </c>
      <c r="H1221" s="5" t="s">
        <v>21</v>
      </c>
      <c r="I1221" s="5" t="s">
        <v>3262</v>
      </c>
      <c r="J1221" s="12" t="str">
        <f>HYPERLINK("https://www.boe.es/gazeta/dias/1803/08/19/pdfs/GMD-1803-66.pdf#page=8","Abrir facsímil")</f>
        <v>Abrir facsímil</v>
      </c>
      <c r="K1221" s="15" t="s">
        <v>23</v>
      </c>
    </row>
    <row r="1222" spans="1:11" ht="42" customHeight="1">
      <c r="A1222" s="4" t="s">
        <v>3263</v>
      </c>
      <c r="B1222" s="5" t="s">
        <v>3264</v>
      </c>
      <c r="C1222" s="5" t="s">
        <v>26</v>
      </c>
      <c r="D1222" s="5" t="s">
        <v>27</v>
      </c>
      <c r="E1222" s="5" t="s">
        <v>967</v>
      </c>
      <c r="F1222" s="9">
        <v>35</v>
      </c>
      <c r="G1222" s="9">
        <v>367</v>
      </c>
      <c r="H1222" s="5" t="s">
        <v>21</v>
      </c>
      <c r="I1222" s="5" t="s">
        <v>3265</v>
      </c>
      <c r="J1222" s="12" t="str">
        <f>HYPERLINK("https://www.boe.es/gazeta/dias/1803/05/03/pdfs/GMD-1803-35.pdf#page=7","Abrir facsímil")</f>
        <v>Abrir facsímil</v>
      </c>
      <c r="K1222" s="15" t="s">
        <v>23</v>
      </c>
    </row>
    <row r="1223" spans="1:11" ht="42" customHeight="1">
      <c r="A1223" s="4" t="s">
        <v>3266</v>
      </c>
      <c r="B1223" s="5" t="s">
        <v>3267</v>
      </c>
      <c r="C1223" s="5" t="s">
        <v>26</v>
      </c>
      <c r="D1223" s="5" t="s">
        <v>27</v>
      </c>
      <c r="E1223" s="5" t="s">
        <v>32</v>
      </c>
      <c r="F1223" s="9">
        <v>74</v>
      </c>
      <c r="G1223" s="9">
        <v>803</v>
      </c>
      <c r="H1223" s="5" t="s">
        <v>21</v>
      </c>
      <c r="I1223" s="5" t="s">
        <v>3268</v>
      </c>
      <c r="J1223" s="12" t="str">
        <f>HYPERLINK("https://www.boe.es/gazeta/dias/1803/09/13/pdfs/GMD-1803-74.pdf#page=7","Abrir facsímil")</f>
        <v>Abrir facsímil</v>
      </c>
      <c r="K1223" s="15" t="s">
        <v>23</v>
      </c>
    </row>
    <row r="1224" spans="1:11" ht="42" customHeight="1">
      <c r="A1224" s="4" t="s">
        <v>3269</v>
      </c>
      <c r="B1224" s="5" t="s">
        <v>3270</v>
      </c>
      <c r="C1224" s="5" t="s">
        <v>18</v>
      </c>
      <c r="D1224" s="5" t="s">
        <v>19</v>
      </c>
      <c r="E1224" s="5" t="s">
        <v>514</v>
      </c>
      <c r="F1224" s="9">
        <v>42</v>
      </c>
      <c r="G1224" s="9">
        <v>438</v>
      </c>
      <c r="H1224" s="5" t="s">
        <v>21</v>
      </c>
      <c r="I1224" s="5" t="s">
        <v>3271</v>
      </c>
      <c r="J1224" s="12" t="str">
        <f>HYPERLINK("https://www.boe.es/gazeta/dias/1803/05/27/pdfs/GMD-1803-42.pdf#page=6","Abrir facsímil")</f>
        <v>Abrir facsímil</v>
      </c>
      <c r="K1224" s="15" t="s">
        <v>23</v>
      </c>
    </row>
    <row r="1225" spans="1:11" ht="42" customHeight="1">
      <c r="A1225" s="4" t="s">
        <v>3272</v>
      </c>
      <c r="B1225" s="5" t="s">
        <v>3273</v>
      </c>
      <c r="C1225" s="5" t="s">
        <v>26</v>
      </c>
      <c r="D1225" s="5" t="s">
        <v>27</v>
      </c>
      <c r="E1225" s="5" t="s">
        <v>784</v>
      </c>
      <c r="F1225" s="9">
        <v>86</v>
      </c>
      <c r="G1225" s="9">
        <v>929</v>
      </c>
      <c r="H1225" s="5" t="s">
        <v>21</v>
      </c>
      <c r="I1225" s="5" t="s">
        <v>3274</v>
      </c>
      <c r="J1225" s="12" t="str">
        <f>HYPERLINK("https://www.boe.es/gazeta/dias/1803/10/25/pdfs/GMD-1803-86.pdf#page=9","Abrir facsímil")</f>
        <v>Abrir facsímil</v>
      </c>
      <c r="K1225" s="15" t="s">
        <v>23</v>
      </c>
    </row>
    <row r="1226" spans="1:11" ht="42" customHeight="1">
      <c r="A1226" s="4" t="s">
        <v>3275</v>
      </c>
      <c r="B1226" s="5" t="s">
        <v>3276</v>
      </c>
      <c r="C1226" s="5" t="s">
        <v>18</v>
      </c>
      <c r="D1226" s="5" t="s">
        <v>19</v>
      </c>
      <c r="E1226" s="5" t="s">
        <v>395</v>
      </c>
      <c r="F1226" s="9">
        <v>13</v>
      </c>
      <c r="G1226" s="9">
        <v>133</v>
      </c>
      <c r="H1226" s="5" t="s">
        <v>21</v>
      </c>
      <c r="I1226" s="5" t="s">
        <v>3277</v>
      </c>
      <c r="J1226" s="12" t="str">
        <f>HYPERLINK("https://www.boe.es/gazeta/dias/1803/02/15/pdfs/GMD-1803-13.pdf#page=9","Abrir facsímil")</f>
        <v>Abrir facsímil</v>
      </c>
      <c r="K1226" s="15" t="s">
        <v>23</v>
      </c>
    </row>
    <row r="1227" spans="1:11" ht="42" customHeight="1">
      <c r="A1227" s="4" t="s">
        <v>3278</v>
      </c>
      <c r="B1227" s="5" t="s">
        <v>3279</v>
      </c>
      <c r="C1227" s="5" t="s">
        <v>26</v>
      </c>
      <c r="D1227" s="5" t="s">
        <v>27</v>
      </c>
      <c r="E1227" s="5" t="s">
        <v>328</v>
      </c>
      <c r="F1227" s="9">
        <v>54</v>
      </c>
      <c r="G1227" s="9">
        <v>591</v>
      </c>
      <c r="H1227" s="5" t="s">
        <v>21</v>
      </c>
      <c r="I1227" s="5" t="s">
        <v>3280</v>
      </c>
      <c r="J1227" s="12" t="str">
        <f>HYPERLINK("https://www.boe.es/gazeta/dias/1803/07/08/pdfs/GMD-1803-54.pdf#page=11","Abrir facsímil")</f>
        <v>Abrir facsímil</v>
      </c>
      <c r="K1227" s="15" t="s">
        <v>23</v>
      </c>
    </row>
    <row r="1228" spans="1:11" ht="42" customHeight="1">
      <c r="A1228" s="4" t="s">
        <v>3281</v>
      </c>
      <c r="B1228" s="5" t="s">
        <v>3282</v>
      </c>
      <c r="C1228" s="5" t="s">
        <v>40</v>
      </c>
      <c r="D1228" s="5" t="s">
        <v>41</v>
      </c>
      <c r="E1228" s="5" t="s">
        <v>174</v>
      </c>
      <c r="F1228" s="9">
        <v>21</v>
      </c>
      <c r="G1228" s="9">
        <v>219</v>
      </c>
      <c r="H1228" s="5" t="s">
        <v>21</v>
      </c>
      <c r="I1228" s="5" t="s">
        <v>3283</v>
      </c>
      <c r="J1228" s="12" t="str">
        <f>HYPERLINK("https://www.boe.es/gazeta/dias/1803/03/15/pdfs/GMD-1803-21.pdf#page=3","Abrir facsímil")</f>
        <v>Abrir facsímil</v>
      </c>
      <c r="K1228" s="15" t="s">
        <v>23</v>
      </c>
    </row>
    <row r="1229" spans="1:11" ht="42" customHeight="1">
      <c r="A1229" s="4" t="s">
        <v>3284</v>
      </c>
      <c r="B1229" s="5" t="s">
        <v>3285</v>
      </c>
      <c r="C1229" s="5" t="s">
        <v>18</v>
      </c>
      <c r="D1229" s="5" t="s">
        <v>19</v>
      </c>
      <c r="E1229" s="5" t="s">
        <v>293</v>
      </c>
      <c r="F1229" s="9">
        <v>45</v>
      </c>
      <c r="G1229" s="9">
        <v>474</v>
      </c>
      <c r="H1229" s="5" t="s">
        <v>21</v>
      </c>
      <c r="I1229" s="5" t="s">
        <v>3286</v>
      </c>
      <c r="J1229" s="12" t="str">
        <f>HYPERLINK("https://www.boe.es/gazeta/dias/1803/06/07/pdfs/GMD-1803-45.pdf#page=10","Abrir facsímil")</f>
        <v>Abrir facsímil</v>
      </c>
      <c r="K1229" s="15" t="s">
        <v>23</v>
      </c>
    </row>
    <row r="1230" spans="1:11" ht="42" customHeight="1">
      <c r="A1230" s="4" t="s">
        <v>3287</v>
      </c>
      <c r="B1230" s="5" t="s">
        <v>3288</v>
      </c>
      <c r="C1230" s="5" t="s">
        <v>51</v>
      </c>
      <c r="D1230" s="5" t="s">
        <v>52</v>
      </c>
      <c r="E1230" s="5" t="s">
        <v>967</v>
      </c>
      <c r="F1230" s="9">
        <v>35</v>
      </c>
      <c r="G1230" s="9">
        <v>367</v>
      </c>
      <c r="H1230" s="5" t="s">
        <v>21</v>
      </c>
      <c r="I1230" s="5" t="s">
        <v>3289</v>
      </c>
      <c r="J1230" s="12" t="str">
        <f>HYPERLINK("https://www.boe.es/gazeta/dias/1803/05/03/pdfs/GMD-1803-35.pdf#page=7","Abrir facsímil")</f>
        <v>Abrir facsímil</v>
      </c>
      <c r="K1230" s="15" t="s">
        <v>23</v>
      </c>
    </row>
    <row r="1231" spans="1:11" ht="42" customHeight="1">
      <c r="A1231" s="4" t="s">
        <v>3290</v>
      </c>
      <c r="B1231" s="5" t="s">
        <v>3291</v>
      </c>
      <c r="C1231" s="5" t="s">
        <v>225</v>
      </c>
      <c r="D1231" s="5" t="s">
        <v>226</v>
      </c>
      <c r="E1231" s="5" t="s">
        <v>191</v>
      </c>
      <c r="F1231" s="9">
        <v>34</v>
      </c>
      <c r="G1231" s="9" t="s">
        <v>2271</v>
      </c>
      <c r="H1231" s="5" t="s">
        <v>21</v>
      </c>
      <c r="I1231" s="5" t="s">
        <v>3292</v>
      </c>
      <c r="J1231" s="12" t="str">
        <f>HYPERLINK("https://www.boe.es/gazeta/dias/1803/04/29/pdfs/GMD-C-1803-34.pdf#page=5","Abrir facsímil")</f>
        <v>Abrir facsímil</v>
      </c>
      <c r="K1231" s="15" t="s">
        <v>23</v>
      </c>
    </row>
    <row r="1232" spans="1:11" ht="42" customHeight="1">
      <c r="A1232" s="4" t="s">
        <v>3293</v>
      </c>
      <c r="B1232" s="5" t="s">
        <v>3294</v>
      </c>
      <c r="C1232" s="5" t="s">
        <v>26</v>
      </c>
      <c r="D1232" s="5" t="s">
        <v>27</v>
      </c>
      <c r="E1232" s="5" t="s">
        <v>88</v>
      </c>
      <c r="F1232" s="9">
        <v>18</v>
      </c>
      <c r="G1232" s="9">
        <v>187</v>
      </c>
      <c r="H1232" s="5" t="s">
        <v>21</v>
      </c>
      <c r="I1232" s="5" t="s">
        <v>3295</v>
      </c>
      <c r="J1232" s="12" t="str">
        <f>HYPERLINK("https://www.boe.es/gazeta/dias/1803/03/04/pdfs/GMD-1803-18.pdf#page=7","Abrir facsímil")</f>
        <v>Abrir facsímil</v>
      </c>
      <c r="K1232" s="15" t="s">
        <v>23</v>
      </c>
    </row>
    <row r="1233" spans="1:11" ht="42" customHeight="1">
      <c r="A1233" s="4" t="s">
        <v>3296</v>
      </c>
      <c r="B1233" s="5" t="s">
        <v>3297</v>
      </c>
      <c r="C1233" s="5" t="s">
        <v>26</v>
      </c>
      <c r="D1233" s="5" t="s">
        <v>27</v>
      </c>
      <c r="E1233" s="5" t="s">
        <v>293</v>
      </c>
      <c r="F1233" s="9">
        <v>45</v>
      </c>
      <c r="G1233" s="9">
        <v>476</v>
      </c>
      <c r="H1233" s="5" t="s">
        <v>21</v>
      </c>
      <c r="I1233" s="5" t="s">
        <v>3298</v>
      </c>
      <c r="J1233" s="12" t="str">
        <f>HYPERLINK("https://www.boe.es/gazeta/dias/1803/06/07/pdfs/GMD-1803-45.pdf#page=12","Abrir facsímil")</f>
        <v>Abrir facsímil</v>
      </c>
      <c r="K1233" s="15" t="s">
        <v>23</v>
      </c>
    </row>
    <row r="1234" spans="1:11" ht="42" customHeight="1">
      <c r="A1234" s="4" t="s">
        <v>3299</v>
      </c>
      <c r="B1234" s="5" t="s">
        <v>3300</v>
      </c>
      <c r="C1234" s="5" t="s">
        <v>18</v>
      </c>
      <c r="D1234" s="5" t="s">
        <v>19</v>
      </c>
      <c r="E1234" s="5" t="s">
        <v>1915</v>
      </c>
      <c r="F1234" s="9">
        <v>44</v>
      </c>
      <c r="G1234" s="9">
        <v>459</v>
      </c>
      <c r="H1234" s="5" t="s">
        <v>21</v>
      </c>
      <c r="I1234" s="5" t="s">
        <v>3301</v>
      </c>
      <c r="J1234" s="12" t="str">
        <f>HYPERLINK("https://www.boe.es/gazeta/dias/1803/06/03/pdfs/GMD-1803-44.pdf#page=7","Abrir facsímil")</f>
        <v>Abrir facsímil</v>
      </c>
      <c r="K1234" s="15" t="s">
        <v>23</v>
      </c>
    </row>
    <row r="1235" spans="1:11" ht="42" customHeight="1">
      <c r="A1235" s="4" t="s">
        <v>3302</v>
      </c>
      <c r="B1235" s="5" t="s">
        <v>3303</v>
      </c>
      <c r="C1235" s="5" t="s">
        <v>51</v>
      </c>
      <c r="D1235" s="5" t="s">
        <v>52</v>
      </c>
      <c r="E1235" s="5" t="s">
        <v>514</v>
      </c>
      <c r="F1235" s="9">
        <v>42</v>
      </c>
      <c r="G1235" s="9">
        <v>439</v>
      </c>
      <c r="H1235" s="5" t="s">
        <v>21</v>
      </c>
      <c r="I1235" s="5" t="s">
        <v>3304</v>
      </c>
      <c r="J1235" s="12" t="str">
        <f>HYPERLINK("https://www.boe.es/gazeta/dias/1803/05/27/pdfs/GMD-1803-42.pdf#page=7","Abrir facsímil")</f>
        <v>Abrir facsímil</v>
      </c>
      <c r="K1235" s="15" t="s">
        <v>23</v>
      </c>
    </row>
    <row r="1236" spans="1:11" ht="42" customHeight="1">
      <c r="A1236" s="4" t="s">
        <v>3305</v>
      </c>
      <c r="B1236" s="5" t="s">
        <v>3306</v>
      </c>
      <c r="C1236" s="5" t="s">
        <v>26</v>
      </c>
      <c r="D1236" s="5" t="s">
        <v>27</v>
      </c>
      <c r="E1236" s="5" t="s">
        <v>332</v>
      </c>
      <c r="F1236" s="9">
        <v>11</v>
      </c>
      <c r="G1236" s="9">
        <v>110</v>
      </c>
      <c r="H1236" s="5" t="s">
        <v>21</v>
      </c>
      <c r="I1236" s="5" t="s">
        <v>3307</v>
      </c>
      <c r="J1236" s="12" t="str">
        <f>HYPERLINK("https://www.boe.es/gazeta/dias/1803/02/08/pdfs/GMD-1803-11.pdf#page=6","Abrir facsímil")</f>
        <v>Abrir facsímil</v>
      </c>
      <c r="K1236" s="15" t="s">
        <v>23</v>
      </c>
    </row>
    <row r="1237" spans="1:11" ht="42" customHeight="1">
      <c r="A1237" s="4" t="s">
        <v>3308</v>
      </c>
      <c r="B1237" s="5" t="s">
        <v>3309</v>
      </c>
      <c r="C1237" s="5" t="s">
        <v>18</v>
      </c>
      <c r="D1237" s="5" t="s">
        <v>19</v>
      </c>
      <c r="E1237" s="5" t="s">
        <v>910</v>
      </c>
      <c r="F1237" s="9">
        <v>66</v>
      </c>
      <c r="G1237" s="9">
        <v>719</v>
      </c>
      <c r="H1237" s="5" t="s">
        <v>21</v>
      </c>
      <c r="I1237" s="5" t="s">
        <v>3310</v>
      </c>
      <c r="J1237" s="12" t="str">
        <f>HYPERLINK("https://www.boe.es/gazeta/dias/1803/08/19/pdfs/GMD-1803-66.pdf#page=7","Abrir facsímil")</f>
        <v>Abrir facsímil</v>
      </c>
      <c r="K1237" s="15" t="s">
        <v>23</v>
      </c>
    </row>
    <row r="1238" spans="1:11" ht="42" customHeight="1">
      <c r="A1238" s="4" t="s">
        <v>3311</v>
      </c>
      <c r="B1238" s="5" t="s">
        <v>3312</v>
      </c>
      <c r="C1238" s="5" t="s">
        <v>40</v>
      </c>
      <c r="D1238" s="5" t="s">
        <v>41</v>
      </c>
      <c r="E1238" s="5" t="s">
        <v>285</v>
      </c>
      <c r="F1238" s="9">
        <v>5</v>
      </c>
      <c r="G1238" s="9">
        <v>45</v>
      </c>
      <c r="H1238" s="5" t="s">
        <v>21</v>
      </c>
      <c r="I1238" s="5" t="s">
        <v>3313</v>
      </c>
      <c r="J1238" s="12" t="str">
        <f>HYPERLINK("https://www.boe.es/gazeta/dias/1803/01/18/pdfs/GMD-1803-5.pdf#page=9","Abrir facsímil")</f>
        <v>Abrir facsímil</v>
      </c>
      <c r="K1238" s="15" t="s">
        <v>23</v>
      </c>
    </row>
    <row r="1239" spans="1:11" ht="42" customHeight="1">
      <c r="A1239" s="4" t="s">
        <v>3314</v>
      </c>
      <c r="B1239" s="5" t="s">
        <v>3315</v>
      </c>
      <c r="C1239" s="5" t="s">
        <v>40</v>
      </c>
      <c r="D1239" s="5" t="s">
        <v>41</v>
      </c>
      <c r="E1239" s="5" t="s">
        <v>336</v>
      </c>
      <c r="F1239" s="9">
        <v>105</v>
      </c>
      <c r="G1239" s="9">
        <v>1121</v>
      </c>
      <c r="H1239" s="5" t="s">
        <v>21</v>
      </c>
      <c r="I1239" s="5" t="s">
        <v>3316</v>
      </c>
      <c r="J1239" s="12" t="str">
        <f>HYPERLINK("https://www.boe.es/gazeta/dias/1803/12/30/pdfs/GMD-1803-105.pdf#page=5","Abrir facsímil")</f>
        <v>Abrir facsímil</v>
      </c>
      <c r="K1239" s="15" t="s">
        <v>23</v>
      </c>
    </row>
    <row r="1240" spans="1:11" ht="42" customHeight="1">
      <c r="A1240" s="4" t="s">
        <v>3317</v>
      </c>
      <c r="B1240" s="5" t="s">
        <v>3318</v>
      </c>
      <c r="C1240" s="5" t="s">
        <v>225</v>
      </c>
      <c r="D1240" s="5" t="s">
        <v>226</v>
      </c>
      <c r="E1240" s="5" t="s">
        <v>191</v>
      </c>
      <c r="F1240" s="9">
        <v>34</v>
      </c>
      <c r="G1240" s="9" t="s">
        <v>1972</v>
      </c>
      <c r="H1240" s="5" t="s">
        <v>21</v>
      </c>
      <c r="I1240" s="5" t="s">
        <v>3319</v>
      </c>
      <c r="J1240" s="12" t="str">
        <f>HYPERLINK("https://www.boe.es/gazeta/dias/1803/04/29/pdfs/GMD-C-1803-34.pdf#page=9","Abrir facsímil")</f>
        <v>Abrir facsímil</v>
      </c>
      <c r="K1240" s="15" t="s">
        <v>23</v>
      </c>
    </row>
    <row r="1241" spans="1:11" ht="42" customHeight="1">
      <c r="A1241" s="4" t="s">
        <v>3320</v>
      </c>
      <c r="B1241" s="5" t="s">
        <v>3321</v>
      </c>
      <c r="C1241" s="5" t="s">
        <v>26</v>
      </c>
      <c r="D1241" s="5" t="s">
        <v>27</v>
      </c>
      <c r="E1241" s="5" t="s">
        <v>138</v>
      </c>
      <c r="F1241" s="9">
        <v>68</v>
      </c>
      <c r="G1241" s="9">
        <v>741</v>
      </c>
      <c r="H1241" s="5" t="s">
        <v>21</v>
      </c>
      <c r="I1241" s="5" t="s">
        <v>3322</v>
      </c>
      <c r="J1241" s="12" t="str">
        <f>HYPERLINK("https://www.boe.es/gazeta/dias/1803/08/26/pdfs/GMD-1803-68.pdf#page=9","Abrir facsímil")</f>
        <v>Abrir facsímil</v>
      </c>
      <c r="K1241" s="15" t="s">
        <v>23</v>
      </c>
    </row>
    <row r="1242" spans="1:11" ht="42" customHeight="1">
      <c r="A1242" s="4" t="s">
        <v>3323</v>
      </c>
      <c r="B1242" s="5" t="s">
        <v>3324</v>
      </c>
      <c r="C1242" s="5" t="s">
        <v>51</v>
      </c>
      <c r="D1242" s="5" t="s">
        <v>52</v>
      </c>
      <c r="E1242" s="5" t="s">
        <v>174</v>
      </c>
      <c r="F1242" s="9">
        <v>21</v>
      </c>
      <c r="G1242" s="9">
        <v>225</v>
      </c>
      <c r="H1242" s="5" t="s">
        <v>21</v>
      </c>
      <c r="I1242" s="5" t="s">
        <v>3325</v>
      </c>
      <c r="J1242" s="12" t="str">
        <f>HYPERLINK("https://www.boe.es/gazeta/dias/1803/03/15/pdfs/GMD-1803-21.pdf#page=9","Abrir facsímil")</f>
        <v>Abrir facsímil</v>
      </c>
      <c r="K1242" s="15" t="s">
        <v>23</v>
      </c>
    </row>
    <row r="1243" spans="1:11" ht="42" customHeight="1">
      <c r="A1243" s="4" t="s">
        <v>3323</v>
      </c>
      <c r="B1243" s="5" t="s">
        <v>3324</v>
      </c>
      <c r="C1243" s="5" t="s">
        <v>225</v>
      </c>
      <c r="D1243" s="5" t="s">
        <v>226</v>
      </c>
      <c r="E1243" s="5" t="s">
        <v>609</v>
      </c>
      <c r="F1243" s="9">
        <v>57</v>
      </c>
      <c r="G1243" s="9">
        <v>622</v>
      </c>
      <c r="H1243" s="5" t="s">
        <v>21</v>
      </c>
      <c r="I1243" s="5" t="s">
        <v>3326</v>
      </c>
      <c r="J1243" s="12" t="str">
        <f>HYPERLINK("https://www.boe.es/gazeta/dias/1803/07/19/pdfs/GMD-C-1803-57.pdf#page=2","Abrir facsímil")</f>
        <v>Abrir facsímil</v>
      </c>
      <c r="K1243" s="15" t="s">
        <v>23</v>
      </c>
    </row>
    <row r="1244" spans="1:11" ht="42" customHeight="1">
      <c r="A1244" s="4" t="s">
        <v>3323</v>
      </c>
      <c r="B1244" s="5" t="s">
        <v>3324</v>
      </c>
      <c r="C1244" s="5" t="s">
        <v>51</v>
      </c>
      <c r="D1244" s="5" t="s">
        <v>52</v>
      </c>
      <c r="E1244" s="5" t="s">
        <v>113</v>
      </c>
      <c r="F1244" s="9">
        <v>93</v>
      </c>
      <c r="G1244" s="9">
        <v>997</v>
      </c>
      <c r="H1244" s="5" t="s">
        <v>21</v>
      </c>
      <c r="I1244" s="5" t="s">
        <v>3327</v>
      </c>
      <c r="J1244" s="12" t="str">
        <f>HYPERLINK("https://www.boe.es/gazeta/dias/1803/11/18/pdfs/GMD-1803-93.pdf#page=9","Abrir facsímil")</f>
        <v>Abrir facsímil</v>
      </c>
      <c r="K1244" s="15" t="s">
        <v>23</v>
      </c>
    </row>
    <row r="1245" spans="1:11" ht="42" customHeight="1">
      <c r="A1245" s="4" t="s">
        <v>3328</v>
      </c>
      <c r="B1245" s="5" t="s">
        <v>3329</v>
      </c>
      <c r="C1245" s="5" t="s">
        <v>26</v>
      </c>
      <c r="D1245" s="5" t="s">
        <v>27</v>
      </c>
      <c r="E1245" s="5" t="s">
        <v>657</v>
      </c>
      <c r="F1245" s="9">
        <v>24</v>
      </c>
      <c r="G1245" s="9">
        <v>256</v>
      </c>
      <c r="H1245" s="5" t="s">
        <v>21</v>
      </c>
      <c r="I1245" s="5" t="s">
        <v>3330</v>
      </c>
      <c r="J1245" s="12" t="str">
        <f>HYPERLINK("https://www.boe.es/gazeta/dias/1803/03/25/pdfs/GMD-1803-24.pdf#page=8","Abrir facsímil")</f>
        <v>Abrir facsímil</v>
      </c>
      <c r="K1245" s="15" t="s">
        <v>23</v>
      </c>
    </row>
    <row r="1246" spans="1:11" ht="42" customHeight="1">
      <c r="A1246" s="4" t="s">
        <v>3331</v>
      </c>
      <c r="B1246" s="5" t="s">
        <v>3332</v>
      </c>
      <c r="C1246" s="5" t="s">
        <v>51</v>
      </c>
      <c r="D1246" s="5" t="s">
        <v>52</v>
      </c>
      <c r="E1246" s="5" t="s">
        <v>657</v>
      </c>
      <c r="F1246" s="9">
        <v>24</v>
      </c>
      <c r="G1246" s="9">
        <v>260</v>
      </c>
      <c r="H1246" s="5" t="s">
        <v>21</v>
      </c>
      <c r="I1246" s="5" t="s">
        <v>3333</v>
      </c>
      <c r="J1246" s="12" t="str">
        <f>HYPERLINK("https://www.boe.es/gazeta/dias/1803/03/25/pdfs/GMD-1803-24.pdf#page=12","Abrir facsímil")</f>
        <v>Abrir facsímil</v>
      </c>
      <c r="K1246" s="15" t="s">
        <v>23</v>
      </c>
    </row>
    <row r="1247" spans="1:11" ht="42" customHeight="1">
      <c r="A1247" s="4" t="s">
        <v>3334</v>
      </c>
      <c r="B1247" s="5" t="s">
        <v>3335</v>
      </c>
      <c r="C1247" s="5" t="s">
        <v>40</v>
      </c>
      <c r="D1247" s="5" t="s">
        <v>41</v>
      </c>
      <c r="E1247" s="5" t="s">
        <v>493</v>
      </c>
      <c r="F1247" s="9">
        <v>104</v>
      </c>
      <c r="G1247" s="9">
        <v>1109</v>
      </c>
      <c r="H1247" s="5" t="s">
        <v>21</v>
      </c>
      <c r="I1247" s="5" t="s">
        <v>3336</v>
      </c>
      <c r="J1247" s="12" t="str">
        <f>HYPERLINK("https://www.boe.es/gazeta/dias/1803/12/27/pdfs/GMD-1803-104.pdf#page=1","Abrir facsímil")</f>
        <v>Abrir facsímil</v>
      </c>
      <c r="K1247" s="15" t="s">
        <v>23</v>
      </c>
    </row>
    <row r="1248" spans="1:11" ht="42" customHeight="1">
      <c r="A1248" s="4" t="s">
        <v>3337</v>
      </c>
      <c r="B1248" s="5" t="s">
        <v>3338</v>
      </c>
      <c r="C1248" s="5" t="s">
        <v>80</v>
      </c>
      <c r="D1248" s="5" t="s">
        <v>81</v>
      </c>
      <c r="E1248" s="5" t="s">
        <v>28</v>
      </c>
      <c r="F1248" s="9">
        <v>92</v>
      </c>
      <c r="G1248" s="9">
        <v>988</v>
      </c>
      <c r="H1248" s="5" t="s">
        <v>21</v>
      </c>
      <c r="I1248" s="5" t="s">
        <v>3339</v>
      </c>
      <c r="J1248" s="12" t="str">
        <f>HYPERLINK("https://www.boe.es/gazeta/dias/1803/11/15/pdfs/GMD-1803-92.pdf#page=8","Abrir facsímil")</f>
        <v>Abrir facsímil</v>
      </c>
      <c r="K1248" s="15" t="s">
        <v>23</v>
      </c>
    </row>
    <row r="1249" spans="1:11" ht="42" customHeight="1">
      <c r="A1249" s="4" t="s">
        <v>3340</v>
      </c>
      <c r="B1249" s="5" t="s">
        <v>3341</v>
      </c>
      <c r="C1249" s="5" t="s">
        <v>80</v>
      </c>
      <c r="D1249" s="5" t="s">
        <v>81</v>
      </c>
      <c r="E1249" s="5" t="s">
        <v>317</v>
      </c>
      <c r="F1249" s="9">
        <v>12</v>
      </c>
      <c r="G1249" s="9">
        <v>124</v>
      </c>
      <c r="H1249" s="5" t="s">
        <v>21</v>
      </c>
      <c r="I1249" s="5" t="s">
        <v>3342</v>
      </c>
      <c r="J1249" s="12" t="str">
        <f>HYPERLINK("https://www.boe.es/gazeta/dias/1803/02/11/pdfs/GMD-1803-12.pdf#page=12","Abrir facsímil")</f>
        <v>Abrir facsímil</v>
      </c>
      <c r="K1249" s="15" t="s">
        <v>23</v>
      </c>
    </row>
    <row r="1250" spans="1:11" ht="42" customHeight="1">
      <c r="A1250" s="4" t="s">
        <v>3343</v>
      </c>
      <c r="B1250" s="5" t="s">
        <v>3344</v>
      </c>
      <c r="C1250" s="5" t="s">
        <v>80</v>
      </c>
      <c r="D1250" s="5" t="s">
        <v>81</v>
      </c>
      <c r="E1250" s="5" t="s">
        <v>571</v>
      </c>
      <c r="F1250" s="9">
        <v>103</v>
      </c>
      <c r="G1250" s="9">
        <v>1107</v>
      </c>
      <c r="H1250" s="5" t="s">
        <v>21</v>
      </c>
      <c r="I1250" s="5" t="s">
        <v>3345</v>
      </c>
      <c r="J1250" s="12" t="str">
        <f>HYPERLINK("https://www.boe.es/gazeta/dias/1803/12/23/pdfs/GMD-1803-103.pdf#page=7","Abrir facsímil")</f>
        <v>Abrir facsímil</v>
      </c>
      <c r="K1250" s="15" t="s">
        <v>23</v>
      </c>
    </row>
    <row r="1251" spans="1:11" ht="42" customHeight="1">
      <c r="A1251" s="4" t="s">
        <v>3346</v>
      </c>
      <c r="B1251" s="5" t="s">
        <v>3347</v>
      </c>
      <c r="C1251" s="5" t="s">
        <v>26</v>
      </c>
      <c r="D1251" s="5" t="s">
        <v>27</v>
      </c>
      <c r="E1251" s="5" t="s">
        <v>93</v>
      </c>
      <c r="F1251" s="9">
        <v>43</v>
      </c>
      <c r="G1251" s="9">
        <v>449</v>
      </c>
      <c r="H1251" s="5" t="s">
        <v>21</v>
      </c>
      <c r="I1251" s="5" t="s">
        <v>3348</v>
      </c>
      <c r="J1251" s="12" t="str">
        <f>HYPERLINK("https://www.boe.es/gazeta/dias/1803/05/31/pdfs/GMD-1803-43.pdf#page=9","Abrir facsímil")</f>
        <v>Abrir facsímil</v>
      </c>
      <c r="K1251" s="15" t="s">
        <v>23</v>
      </c>
    </row>
    <row r="1252" spans="1:11" ht="42" customHeight="1">
      <c r="A1252" s="4" t="s">
        <v>3349</v>
      </c>
      <c r="B1252" s="5" t="s">
        <v>3350</v>
      </c>
      <c r="C1252" s="5" t="s">
        <v>18</v>
      </c>
      <c r="D1252" s="5" t="s">
        <v>19</v>
      </c>
      <c r="E1252" s="5" t="s">
        <v>207</v>
      </c>
      <c r="F1252" s="9">
        <v>27</v>
      </c>
      <c r="G1252" s="9">
        <v>292</v>
      </c>
      <c r="H1252" s="5" t="s">
        <v>21</v>
      </c>
      <c r="I1252" s="5" t="s">
        <v>3351</v>
      </c>
      <c r="J1252" s="12" t="str">
        <f>HYPERLINK("https://www.boe.es/gazeta/dias/1803/04/05/pdfs/GMD-1803-27.pdf#page=8","Abrir facsímil")</f>
        <v>Abrir facsímil</v>
      </c>
      <c r="K1252" s="15" t="s">
        <v>23</v>
      </c>
    </row>
    <row r="1253" spans="1:11" ht="42" customHeight="1">
      <c r="A1253" s="4" t="s">
        <v>3352</v>
      </c>
      <c r="B1253" s="5" t="s">
        <v>3353</v>
      </c>
      <c r="C1253" s="5" t="s">
        <v>51</v>
      </c>
      <c r="D1253" s="5" t="s">
        <v>52</v>
      </c>
      <c r="E1253" s="5" t="s">
        <v>61</v>
      </c>
      <c r="F1253" s="9">
        <v>67</v>
      </c>
      <c r="G1253" s="9">
        <v>729</v>
      </c>
      <c r="H1253" s="5" t="s">
        <v>21</v>
      </c>
      <c r="I1253" s="5" t="s">
        <v>3354</v>
      </c>
      <c r="J1253" s="12" t="str">
        <f>HYPERLINK("https://www.boe.es/gazeta/dias/1803/08/23/pdfs/GMD-1803-67.pdf#page=9","Abrir facsímil")</f>
        <v>Abrir facsímil</v>
      </c>
      <c r="K1253" s="15" t="s">
        <v>23</v>
      </c>
    </row>
    <row r="1254" spans="1:11" ht="42" customHeight="1">
      <c r="A1254" s="4" t="s">
        <v>3355</v>
      </c>
      <c r="B1254" s="5" t="s">
        <v>3356</v>
      </c>
      <c r="C1254" s="5" t="s">
        <v>26</v>
      </c>
      <c r="D1254" s="5" t="s">
        <v>27</v>
      </c>
      <c r="E1254" s="5" t="s">
        <v>278</v>
      </c>
      <c r="F1254" s="9">
        <v>46</v>
      </c>
      <c r="G1254" s="9">
        <v>486</v>
      </c>
      <c r="H1254" s="5" t="s">
        <v>21</v>
      </c>
      <c r="I1254" s="5" t="s">
        <v>3357</v>
      </c>
      <c r="J1254" s="12" t="str">
        <f>HYPERLINK("https://www.boe.es/gazeta/dias/1803/06/10/pdfs/GMD-1803-46.pdf#page=10","Abrir facsímil")</f>
        <v>Abrir facsímil</v>
      </c>
      <c r="K1254" s="15" t="s">
        <v>23</v>
      </c>
    </row>
    <row r="1255" spans="1:11" ht="42" customHeight="1">
      <c r="A1255" s="4" t="s">
        <v>3358</v>
      </c>
      <c r="B1255" s="5" t="s">
        <v>3359</v>
      </c>
      <c r="C1255" s="5" t="s">
        <v>80</v>
      </c>
      <c r="D1255" s="5" t="s">
        <v>81</v>
      </c>
      <c r="E1255" s="5" t="s">
        <v>289</v>
      </c>
      <c r="F1255" s="9">
        <v>38</v>
      </c>
      <c r="G1255" s="9">
        <v>399</v>
      </c>
      <c r="H1255" s="5" t="s">
        <v>21</v>
      </c>
      <c r="I1255" s="5" t="s">
        <v>3360</v>
      </c>
      <c r="J1255" s="12" t="str">
        <f>HYPERLINK("https://www.boe.es/gazeta/dias/1803/05/13/pdfs/GMD-1803-38.pdf#page=7","Abrir facsímil")</f>
        <v>Abrir facsímil</v>
      </c>
      <c r="K1255" s="15" t="s">
        <v>23</v>
      </c>
    </row>
    <row r="1256" spans="1:11" ht="42" customHeight="1">
      <c r="A1256" s="4" t="s">
        <v>3361</v>
      </c>
      <c r="B1256" s="5" t="s">
        <v>3362</v>
      </c>
      <c r="C1256" s="5" t="s">
        <v>51</v>
      </c>
      <c r="D1256" s="5" t="s">
        <v>52</v>
      </c>
      <c r="E1256" s="5" t="s">
        <v>61</v>
      </c>
      <c r="F1256" s="9">
        <v>67</v>
      </c>
      <c r="G1256" s="9">
        <v>729</v>
      </c>
      <c r="H1256" s="5" t="s">
        <v>21</v>
      </c>
      <c r="I1256" s="5" t="s">
        <v>3363</v>
      </c>
      <c r="J1256" s="12" t="str">
        <f>HYPERLINK("https://www.boe.es/gazeta/dias/1803/08/23/pdfs/GMD-1803-67.pdf#page=9","Abrir facsímil")</f>
        <v>Abrir facsímil</v>
      </c>
      <c r="K1256" s="15" t="s">
        <v>23</v>
      </c>
    </row>
    <row r="1257" spans="1:11" ht="42" customHeight="1">
      <c r="A1257" s="4" t="s">
        <v>3364</v>
      </c>
      <c r="B1257" s="5" t="s">
        <v>3365</v>
      </c>
      <c r="C1257" s="5" t="s">
        <v>26</v>
      </c>
      <c r="D1257" s="5" t="s">
        <v>27</v>
      </c>
      <c r="E1257" s="5" t="s">
        <v>1279</v>
      </c>
      <c r="F1257" s="9">
        <v>3</v>
      </c>
      <c r="G1257" s="9">
        <v>28</v>
      </c>
      <c r="H1257" s="5" t="s">
        <v>21</v>
      </c>
      <c r="I1257" s="5" t="s">
        <v>3366</v>
      </c>
      <c r="J1257" s="12" t="str">
        <f>HYPERLINK("https://www.boe.es/gazeta/dias/1803/01/11/pdfs/GMD-1803-3.pdf#page=8","Abrir facsímil")</f>
        <v>Abrir facsímil</v>
      </c>
      <c r="K1257" s="15" t="s">
        <v>23</v>
      </c>
    </row>
    <row r="1258" spans="1:11" ht="42" customHeight="1">
      <c r="A1258" s="4" t="s">
        <v>3367</v>
      </c>
      <c r="B1258" s="5" t="s">
        <v>3368</v>
      </c>
      <c r="C1258" s="5" t="s">
        <v>51</v>
      </c>
      <c r="D1258" s="5" t="s">
        <v>52</v>
      </c>
      <c r="E1258" s="5" t="s">
        <v>64</v>
      </c>
      <c r="F1258" s="9">
        <v>65</v>
      </c>
      <c r="G1258" s="9">
        <v>710</v>
      </c>
      <c r="H1258" s="5" t="s">
        <v>21</v>
      </c>
      <c r="I1258" s="5" t="s">
        <v>3369</v>
      </c>
      <c r="J1258" s="12" t="str">
        <f>HYPERLINK("https://www.boe.es/gazeta/dias/1803/08/16/pdfs/GMD-1803-65.pdf#page=10","Abrir facsímil")</f>
        <v>Abrir facsímil</v>
      </c>
      <c r="K1258" s="15" t="s">
        <v>23</v>
      </c>
    </row>
    <row r="1259" spans="1:11" ht="42" customHeight="1">
      <c r="A1259" s="4" t="s">
        <v>3370</v>
      </c>
      <c r="B1259" s="5" t="s">
        <v>3371</v>
      </c>
      <c r="C1259" s="5" t="s">
        <v>26</v>
      </c>
      <c r="D1259" s="5" t="s">
        <v>27</v>
      </c>
      <c r="E1259" s="5" t="s">
        <v>203</v>
      </c>
      <c r="F1259" s="9">
        <v>32</v>
      </c>
      <c r="G1259" s="9">
        <v>335</v>
      </c>
      <c r="H1259" s="5" t="s">
        <v>21</v>
      </c>
      <c r="I1259" s="5" t="s">
        <v>3372</v>
      </c>
      <c r="J1259" s="12" t="str">
        <f>HYPERLINK("https://www.boe.es/gazeta/dias/1803/04/22/pdfs/GMD-1803-32.pdf#page=7","Abrir facsímil")</f>
        <v>Abrir facsímil</v>
      </c>
      <c r="K1259" s="15" t="s">
        <v>23</v>
      </c>
    </row>
    <row r="1260" spans="1:11" ht="42" customHeight="1">
      <c r="A1260" s="4" t="s">
        <v>3373</v>
      </c>
      <c r="B1260" s="5" t="s">
        <v>3374</v>
      </c>
      <c r="C1260" s="5" t="s">
        <v>26</v>
      </c>
      <c r="D1260" s="5" t="s">
        <v>27</v>
      </c>
      <c r="E1260" s="5" t="s">
        <v>657</v>
      </c>
      <c r="F1260" s="9">
        <v>24</v>
      </c>
      <c r="G1260" s="9">
        <v>254</v>
      </c>
      <c r="H1260" s="5" t="s">
        <v>21</v>
      </c>
      <c r="I1260" s="5" t="s">
        <v>3375</v>
      </c>
      <c r="J1260" s="12" t="str">
        <f>HYPERLINK("https://www.boe.es/gazeta/dias/1803/03/25/pdfs/GMD-1803-24.pdf#page=6","Abrir facsímil")</f>
        <v>Abrir facsímil</v>
      </c>
      <c r="K1260" s="15" t="s">
        <v>23</v>
      </c>
    </row>
    <row r="1261" spans="1:11" ht="42" customHeight="1">
      <c r="A1261" s="4" t="s">
        <v>3376</v>
      </c>
      <c r="B1261" s="5" t="s">
        <v>3377</v>
      </c>
      <c r="C1261" s="5" t="s">
        <v>18</v>
      </c>
      <c r="D1261" s="5" t="s">
        <v>19</v>
      </c>
      <c r="E1261" s="5" t="s">
        <v>967</v>
      </c>
      <c r="F1261" s="9">
        <v>35</v>
      </c>
      <c r="G1261" s="9">
        <v>367</v>
      </c>
      <c r="H1261" s="5" t="s">
        <v>21</v>
      </c>
      <c r="I1261" s="5" t="s">
        <v>3378</v>
      </c>
      <c r="J1261" s="12" t="str">
        <f>HYPERLINK("https://www.boe.es/gazeta/dias/1803/05/03/pdfs/GMD-1803-35.pdf#page=7","Abrir facsímil")</f>
        <v>Abrir facsímil</v>
      </c>
      <c r="K1261" s="15" t="s">
        <v>23</v>
      </c>
    </row>
    <row r="1262" spans="1:11" ht="42" customHeight="1">
      <c r="A1262" s="4" t="s">
        <v>3379</v>
      </c>
      <c r="B1262" s="5" t="s">
        <v>3380</v>
      </c>
      <c r="C1262" s="5" t="s">
        <v>26</v>
      </c>
      <c r="D1262" s="5" t="s">
        <v>27</v>
      </c>
      <c r="E1262" s="5" t="s">
        <v>289</v>
      </c>
      <c r="F1262" s="9">
        <v>38</v>
      </c>
      <c r="G1262" s="9">
        <v>402</v>
      </c>
      <c r="H1262" s="5" t="s">
        <v>21</v>
      </c>
      <c r="I1262" s="5" t="s">
        <v>3381</v>
      </c>
      <c r="J1262" s="12" t="str">
        <f>HYPERLINK("https://www.boe.es/gazeta/dias/1803/05/13/pdfs/GMD-1803-38.pdf#page=10","Abrir facsímil")</f>
        <v>Abrir facsímil</v>
      </c>
      <c r="K1262" s="15" t="s">
        <v>23</v>
      </c>
    </row>
    <row r="1263" spans="1:11" ht="42" customHeight="1">
      <c r="A1263" s="4" t="s">
        <v>3382</v>
      </c>
      <c r="B1263" s="5" t="s">
        <v>3383</v>
      </c>
      <c r="C1263" s="5" t="s">
        <v>26</v>
      </c>
      <c r="D1263" s="5" t="s">
        <v>27</v>
      </c>
      <c r="E1263" s="5" t="s">
        <v>726</v>
      </c>
      <c r="F1263" s="9">
        <v>78</v>
      </c>
      <c r="G1263" s="9">
        <v>845</v>
      </c>
      <c r="H1263" s="5" t="s">
        <v>21</v>
      </c>
      <c r="I1263" s="5" t="s">
        <v>3384</v>
      </c>
      <c r="J1263" s="12" t="str">
        <f>HYPERLINK("https://www.boe.es/gazeta/dias/1803/09/27/pdfs/GMD-1803-78.pdf#page=9","Abrir facsímil")</f>
        <v>Abrir facsímil</v>
      </c>
      <c r="K1263" s="15" t="s">
        <v>23</v>
      </c>
    </row>
    <row r="1264" spans="1:11" ht="42" customHeight="1">
      <c r="A1264" s="4" t="s">
        <v>3385</v>
      </c>
      <c r="B1264" s="5" t="s">
        <v>3386</v>
      </c>
      <c r="C1264" s="5" t="s">
        <v>26</v>
      </c>
      <c r="D1264" s="5" t="s">
        <v>27</v>
      </c>
      <c r="E1264" s="5" t="s">
        <v>47</v>
      </c>
      <c r="F1264" s="9">
        <v>33</v>
      </c>
      <c r="G1264" s="9">
        <v>349</v>
      </c>
      <c r="H1264" s="5" t="s">
        <v>21</v>
      </c>
      <c r="I1264" s="5" t="s">
        <v>3387</v>
      </c>
      <c r="J1264" s="12" t="str">
        <f>HYPERLINK("https://www.boe.es/gazeta/dias/1803/04/26/pdfs/GMD-1803-33.pdf#page=9","Abrir facsímil")</f>
        <v>Abrir facsímil</v>
      </c>
      <c r="K1264" s="15" t="s">
        <v>23</v>
      </c>
    </row>
    <row r="1265" spans="1:11" ht="42" customHeight="1">
      <c r="A1265" s="4" t="s">
        <v>3388</v>
      </c>
      <c r="B1265" s="5" t="s">
        <v>3389</v>
      </c>
      <c r="C1265" s="5" t="s">
        <v>40</v>
      </c>
      <c r="D1265" s="5" t="s">
        <v>41</v>
      </c>
      <c r="E1265" s="5" t="s">
        <v>28</v>
      </c>
      <c r="F1265" s="9">
        <v>92</v>
      </c>
      <c r="G1265" s="9">
        <v>986</v>
      </c>
      <c r="H1265" s="5" t="s">
        <v>21</v>
      </c>
      <c r="I1265" s="5" t="s">
        <v>3390</v>
      </c>
      <c r="J1265" s="12" t="str">
        <f>HYPERLINK("https://www.boe.es/gazeta/dias/1803/11/15/pdfs/GMD-1803-92.pdf#page=6","Abrir facsímil")</f>
        <v>Abrir facsímil</v>
      </c>
      <c r="K1265" s="15" t="s">
        <v>23</v>
      </c>
    </row>
    <row r="1266" spans="1:11" ht="42" customHeight="1">
      <c r="A1266" s="4" t="s">
        <v>3391</v>
      </c>
      <c r="B1266" s="5" t="s">
        <v>3392</v>
      </c>
      <c r="C1266" s="5" t="s">
        <v>80</v>
      </c>
      <c r="D1266" s="5" t="s">
        <v>81</v>
      </c>
      <c r="E1266" s="5" t="s">
        <v>501</v>
      </c>
      <c r="F1266" s="9">
        <v>22</v>
      </c>
      <c r="G1266" s="9">
        <v>239</v>
      </c>
      <c r="H1266" s="5" t="s">
        <v>21</v>
      </c>
      <c r="I1266" s="5" t="s">
        <v>3393</v>
      </c>
      <c r="J1266" s="12" t="str">
        <f>HYPERLINK("https://www.boe.es/gazeta/dias/1803/03/18/pdfs/GMD-1803-22.pdf#page=11","Abrir facsímil")</f>
        <v>Abrir facsímil</v>
      </c>
      <c r="K1266" s="15" t="s">
        <v>23</v>
      </c>
    </row>
    <row r="1267" spans="1:11" ht="42" customHeight="1">
      <c r="A1267" s="4" t="s">
        <v>3394</v>
      </c>
      <c r="B1267" s="5" t="s">
        <v>3395</v>
      </c>
      <c r="C1267" s="5" t="s">
        <v>51</v>
      </c>
      <c r="D1267" s="5" t="s">
        <v>52</v>
      </c>
      <c r="E1267" s="5" t="s">
        <v>501</v>
      </c>
      <c r="F1267" s="9">
        <v>22</v>
      </c>
      <c r="G1267" s="9">
        <v>239</v>
      </c>
      <c r="H1267" s="5" t="s">
        <v>21</v>
      </c>
      <c r="I1267" s="5" t="s">
        <v>3396</v>
      </c>
      <c r="J1267" s="12" t="str">
        <f>HYPERLINK("https://www.boe.es/gazeta/dias/1803/03/18/pdfs/GMD-1803-22.pdf#page=11","Abrir facsímil")</f>
        <v>Abrir facsímil</v>
      </c>
      <c r="K1267" s="15" t="s">
        <v>23</v>
      </c>
    </row>
    <row r="1268" spans="1:11" ht="42" customHeight="1">
      <c r="A1268" s="4" t="s">
        <v>3397</v>
      </c>
      <c r="B1268" s="5" t="s">
        <v>3398</v>
      </c>
      <c r="C1268" s="5" t="s">
        <v>51</v>
      </c>
      <c r="D1268" s="5" t="s">
        <v>52</v>
      </c>
      <c r="E1268" s="5" t="s">
        <v>85</v>
      </c>
      <c r="F1268" s="9">
        <v>49</v>
      </c>
      <c r="G1268" s="9">
        <v>523</v>
      </c>
      <c r="H1268" s="5" t="s">
        <v>21</v>
      </c>
      <c r="I1268" s="5" t="s">
        <v>3399</v>
      </c>
      <c r="J1268" s="12" t="str">
        <f>HYPERLINK("https://www.boe.es/gazeta/dias/1803/06/21/pdfs/GMD-1803-49.pdf#page=11","Abrir facsímil")</f>
        <v>Abrir facsímil</v>
      </c>
      <c r="K1268" s="15" t="s">
        <v>23</v>
      </c>
    </row>
    <row r="1269" spans="1:11" ht="42" customHeight="1">
      <c r="A1269" s="4" t="s">
        <v>3394</v>
      </c>
      <c r="B1269" s="5" t="s">
        <v>3395</v>
      </c>
      <c r="C1269" s="5" t="s">
        <v>46</v>
      </c>
      <c r="D1269" s="5" t="s">
        <v>19</v>
      </c>
      <c r="E1269" s="5" t="s">
        <v>77</v>
      </c>
      <c r="F1269" s="9">
        <v>64</v>
      </c>
      <c r="G1269" s="9">
        <v>700</v>
      </c>
      <c r="H1269" s="5" t="s">
        <v>21</v>
      </c>
      <c r="I1269" s="5" t="s">
        <v>3400</v>
      </c>
      <c r="J1269" s="12" t="str">
        <f>HYPERLINK("https://www.boe.es/gazeta/dias/1803/08/12/pdfs/GMD-1803-64.pdf#page=8","Abrir facsímil")</f>
        <v>Abrir facsímil</v>
      </c>
      <c r="K1269" s="15" t="s">
        <v>23</v>
      </c>
    </row>
    <row r="1270" spans="1:11" ht="42" customHeight="1">
      <c r="A1270" s="4" t="s">
        <v>3401</v>
      </c>
      <c r="B1270" s="5" t="s">
        <v>3402</v>
      </c>
      <c r="C1270" s="5" t="s">
        <v>26</v>
      </c>
      <c r="D1270" s="5" t="s">
        <v>27</v>
      </c>
      <c r="E1270" s="5" t="s">
        <v>263</v>
      </c>
      <c r="F1270" s="9">
        <v>75</v>
      </c>
      <c r="G1270" s="9">
        <v>811</v>
      </c>
      <c r="H1270" s="5" t="s">
        <v>21</v>
      </c>
      <c r="I1270" s="5" t="s">
        <v>3403</v>
      </c>
      <c r="J1270" s="12" t="str">
        <f>HYPERLINK("https://www.boe.es/gazeta/dias/1803/09/16/pdfs/GMD-1803-75.pdf#page=7","Abrir facsímil")</f>
        <v>Abrir facsímil</v>
      </c>
      <c r="K1270" s="15" t="s">
        <v>23</v>
      </c>
    </row>
    <row r="1271" spans="1:11" ht="42" customHeight="1">
      <c r="A1271" s="4" t="s">
        <v>3404</v>
      </c>
      <c r="B1271" s="5" t="s">
        <v>3405</v>
      </c>
      <c r="C1271" s="5" t="s">
        <v>26</v>
      </c>
      <c r="D1271" s="5" t="s">
        <v>27</v>
      </c>
      <c r="E1271" s="5" t="s">
        <v>784</v>
      </c>
      <c r="F1271" s="9">
        <v>86</v>
      </c>
      <c r="G1271" s="9">
        <v>930</v>
      </c>
      <c r="H1271" s="5" t="s">
        <v>21</v>
      </c>
      <c r="I1271" s="5" t="s">
        <v>3406</v>
      </c>
      <c r="J1271" s="12" t="str">
        <f>HYPERLINK("https://www.boe.es/gazeta/dias/1803/10/25/pdfs/GMD-1803-86.pdf#page=10","Abrir facsímil")</f>
        <v>Abrir facsímil</v>
      </c>
      <c r="K1271" s="15" t="s">
        <v>23</v>
      </c>
    </row>
    <row r="1272" spans="1:11" ht="42" customHeight="1">
      <c r="A1272" s="4" t="s">
        <v>3407</v>
      </c>
      <c r="B1272" s="5" t="s">
        <v>3408</v>
      </c>
      <c r="C1272" s="5" t="s">
        <v>18</v>
      </c>
      <c r="D1272" s="5" t="s">
        <v>19</v>
      </c>
      <c r="E1272" s="5" t="s">
        <v>317</v>
      </c>
      <c r="F1272" s="9">
        <v>12</v>
      </c>
      <c r="G1272" s="9">
        <v>123</v>
      </c>
      <c r="H1272" s="5" t="s">
        <v>21</v>
      </c>
      <c r="I1272" s="5" t="s">
        <v>3409</v>
      </c>
      <c r="J1272" s="12" t="str">
        <f>HYPERLINK("https://www.boe.es/gazeta/dias/1803/02/11/pdfs/GMD-1803-12.pdf#page=11","Abrir facsímil")</f>
        <v>Abrir facsímil</v>
      </c>
      <c r="K1272" s="15" t="s">
        <v>23</v>
      </c>
    </row>
    <row r="1273" spans="1:11" ht="42" customHeight="1">
      <c r="A1273" s="4" t="s">
        <v>3410</v>
      </c>
      <c r="B1273" s="5" t="s">
        <v>3411</v>
      </c>
      <c r="C1273" s="5" t="s">
        <v>26</v>
      </c>
      <c r="D1273" s="5" t="s">
        <v>27</v>
      </c>
      <c r="E1273" s="5" t="s">
        <v>42</v>
      </c>
      <c r="F1273" s="9">
        <v>10</v>
      </c>
      <c r="G1273" s="9">
        <v>104</v>
      </c>
      <c r="H1273" s="5" t="s">
        <v>21</v>
      </c>
      <c r="I1273" s="5" t="s">
        <v>3412</v>
      </c>
      <c r="J1273" s="12" t="str">
        <f>HYPERLINK("https://www.boe.es/gazeta/dias/1803/02/04/pdfs/GMD-1803-10.pdf#page=8","Abrir facsímil")</f>
        <v>Abrir facsímil</v>
      </c>
      <c r="K1273" s="15" t="s">
        <v>23</v>
      </c>
    </row>
    <row r="1274" spans="1:11" ht="42" customHeight="1">
      <c r="A1274" s="4" t="s">
        <v>3413</v>
      </c>
      <c r="B1274" s="5" t="s">
        <v>3414</v>
      </c>
      <c r="C1274" s="5" t="s">
        <v>26</v>
      </c>
      <c r="D1274" s="5" t="s">
        <v>27</v>
      </c>
      <c r="E1274" s="5" t="s">
        <v>289</v>
      </c>
      <c r="F1274" s="9">
        <v>38</v>
      </c>
      <c r="G1274" s="9">
        <v>401</v>
      </c>
      <c r="H1274" s="5" t="s">
        <v>21</v>
      </c>
      <c r="I1274" s="5" t="s">
        <v>3415</v>
      </c>
      <c r="J1274" s="12" t="str">
        <f>HYPERLINK("https://www.boe.es/gazeta/dias/1803/05/13/pdfs/GMD-1803-38.pdf#page=9","Abrir facsímil")</f>
        <v>Abrir facsímil</v>
      </c>
      <c r="K1274" s="15" t="s">
        <v>23</v>
      </c>
    </row>
    <row r="1275" spans="1:11" ht="42" customHeight="1">
      <c r="A1275" s="4" t="s">
        <v>3416</v>
      </c>
      <c r="B1275" s="5" t="s">
        <v>3417</v>
      </c>
      <c r="C1275" s="5" t="s">
        <v>18</v>
      </c>
      <c r="D1275" s="5" t="s">
        <v>19</v>
      </c>
      <c r="E1275" s="5" t="s">
        <v>83</v>
      </c>
      <c r="F1275" s="9">
        <v>28</v>
      </c>
      <c r="G1275" s="9">
        <v>304</v>
      </c>
      <c r="H1275" s="5" t="s">
        <v>21</v>
      </c>
      <c r="I1275" s="5" t="s">
        <v>3418</v>
      </c>
      <c r="J1275" s="12" t="str">
        <f>HYPERLINK("https://www.boe.es/gazeta/dias/1803/04/08/pdfs/GMD-1803-28.pdf#page=8","Abrir facsímil")</f>
        <v>Abrir facsímil</v>
      </c>
      <c r="K1275" s="15" t="s">
        <v>23</v>
      </c>
    </row>
    <row r="1276" spans="1:11" ht="42" customHeight="1">
      <c r="A1276" s="4" t="s">
        <v>3419</v>
      </c>
      <c r="B1276" s="5" t="s">
        <v>3420</v>
      </c>
      <c r="C1276" s="5" t="s">
        <v>26</v>
      </c>
      <c r="D1276" s="5" t="s">
        <v>27</v>
      </c>
      <c r="E1276" s="5" t="s">
        <v>207</v>
      </c>
      <c r="F1276" s="9">
        <v>27</v>
      </c>
      <c r="G1276" s="9">
        <v>296</v>
      </c>
      <c r="H1276" s="5" t="s">
        <v>21</v>
      </c>
      <c r="I1276" s="5" t="s">
        <v>3421</v>
      </c>
      <c r="J1276" s="12" t="str">
        <f>HYPERLINK("https://www.boe.es/gazeta/dias/1803/04/05/pdfs/GMD-1803-27.pdf#page=12","Abrir facsímil")</f>
        <v>Abrir facsímil</v>
      </c>
      <c r="K1276" s="15" t="s">
        <v>23</v>
      </c>
    </row>
    <row r="1277" spans="1:11" ht="42" customHeight="1">
      <c r="A1277" s="4" t="s">
        <v>3422</v>
      </c>
      <c r="B1277" s="5" t="s">
        <v>3423</v>
      </c>
      <c r="C1277" s="5" t="s">
        <v>80</v>
      </c>
      <c r="D1277" s="5" t="s">
        <v>81</v>
      </c>
      <c r="E1277" s="5" t="s">
        <v>477</v>
      </c>
      <c r="F1277" s="9">
        <v>48</v>
      </c>
      <c r="G1277" s="9">
        <v>512</v>
      </c>
      <c r="H1277" s="5" t="s">
        <v>21</v>
      </c>
      <c r="I1277" s="5" t="s">
        <v>3424</v>
      </c>
      <c r="J1277" s="12" t="str">
        <f>HYPERLINK("https://www.boe.es/gazeta/dias/1803/06/17/pdfs/GMD-1803-48.pdf#page=12","Abrir facsímil")</f>
        <v>Abrir facsímil</v>
      </c>
      <c r="K1277" s="15" t="s">
        <v>23</v>
      </c>
    </row>
    <row r="1278" spans="1:11" ht="42" customHeight="1">
      <c r="A1278" s="4" t="s">
        <v>3425</v>
      </c>
      <c r="B1278" s="5" t="s">
        <v>3426</v>
      </c>
      <c r="C1278" s="5" t="s">
        <v>26</v>
      </c>
      <c r="D1278" s="5" t="s">
        <v>27</v>
      </c>
      <c r="E1278" s="5" t="s">
        <v>88</v>
      </c>
      <c r="F1278" s="9">
        <v>18</v>
      </c>
      <c r="G1278" s="9">
        <v>187</v>
      </c>
      <c r="H1278" s="5" t="s">
        <v>21</v>
      </c>
      <c r="I1278" s="5" t="s">
        <v>3427</v>
      </c>
      <c r="J1278" s="12" t="str">
        <f>HYPERLINK("https://www.boe.es/gazeta/dias/1803/03/04/pdfs/GMD-1803-18.pdf#page=7","Abrir facsímil")</f>
        <v>Abrir facsímil</v>
      </c>
      <c r="K1278" s="15" t="s">
        <v>23</v>
      </c>
    </row>
    <row r="1279" spans="1:11" ht="42" customHeight="1">
      <c r="A1279" s="4" t="s">
        <v>3428</v>
      </c>
      <c r="B1279" s="5" t="s">
        <v>3429</v>
      </c>
      <c r="C1279" s="5" t="s">
        <v>26</v>
      </c>
      <c r="D1279" s="5" t="s">
        <v>27</v>
      </c>
      <c r="E1279" s="5" t="s">
        <v>369</v>
      </c>
      <c r="F1279" s="9">
        <v>100</v>
      </c>
      <c r="G1279" s="9">
        <v>1073</v>
      </c>
      <c r="H1279" s="5" t="s">
        <v>21</v>
      </c>
      <c r="I1279" s="5" t="s">
        <v>3430</v>
      </c>
      <c r="J1279" s="12" t="str">
        <f>HYPERLINK("https://www.boe.es/gazeta/dias/1803/12/13/pdfs/GMD-1803-100.pdf#page=9","Abrir facsímil")</f>
        <v>Abrir facsímil</v>
      </c>
      <c r="K1279" s="15" t="s">
        <v>23</v>
      </c>
    </row>
    <row r="1280" spans="1:11" ht="42" customHeight="1">
      <c r="A1280" s="4" t="s">
        <v>3431</v>
      </c>
      <c r="B1280" s="5" t="s">
        <v>3432</v>
      </c>
      <c r="C1280" s="5" t="s">
        <v>80</v>
      </c>
      <c r="D1280" s="5" t="s">
        <v>81</v>
      </c>
      <c r="E1280" s="5" t="s">
        <v>317</v>
      </c>
      <c r="F1280" s="9">
        <v>12</v>
      </c>
      <c r="G1280" s="9">
        <v>123</v>
      </c>
      <c r="H1280" s="5" t="s">
        <v>21</v>
      </c>
      <c r="I1280" s="5" t="s">
        <v>3433</v>
      </c>
      <c r="J1280" s="12" t="str">
        <f>HYPERLINK("https://www.boe.es/gazeta/dias/1803/02/11/pdfs/GMD-1803-12.pdf#page=11","Abrir facsímil")</f>
        <v>Abrir facsímil</v>
      </c>
      <c r="K1280" s="15" t="s">
        <v>23</v>
      </c>
    </row>
    <row r="1281" spans="1:11" ht="42" customHeight="1">
      <c r="A1281" s="4" t="s">
        <v>3434</v>
      </c>
      <c r="B1281" s="5" t="s">
        <v>3435</v>
      </c>
      <c r="C1281" s="5" t="s">
        <v>18</v>
      </c>
      <c r="D1281" s="5" t="s">
        <v>19</v>
      </c>
      <c r="E1281" s="5" t="s">
        <v>373</v>
      </c>
      <c r="F1281" s="9">
        <v>77</v>
      </c>
      <c r="G1281" s="9">
        <v>833</v>
      </c>
      <c r="H1281" s="5" t="s">
        <v>21</v>
      </c>
      <c r="I1281" s="5" t="s">
        <v>3436</v>
      </c>
      <c r="J1281" s="12" t="str">
        <f>HYPERLINK("https://www.boe.es/gazeta/dias/1803/09/23/pdfs/GMD-1803-77.pdf#page=9","Abrir facsímil")</f>
        <v>Abrir facsímil</v>
      </c>
      <c r="K1281" s="15" t="s">
        <v>23</v>
      </c>
    </row>
    <row r="1282" spans="1:11" ht="42" customHeight="1">
      <c r="A1282" s="4" t="s">
        <v>3434</v>
      </c>
      <c r="B1282" s="5" t="s">
        <v>3435</v>
      </c>
      <c r="C1282" s="5" t="s">
        <v>51</v>
      </c>
      <c r="D1282" s="5" t="s">
        <v>52</v>
      </c>
      <c r="E1282" s="5" t="s">
        <v>109</v>
      </c>
      <c r="F1282" s="9">
        <v>102</v>
      </c>
      <c r="G1282" s="9">
        <v>1097</v>
      </c>
      <c r="H1282" s="5" t="s">
        <v>21</v>
      </c>
      <c r="I1282" s="5" t="s">
        <v>3437</v>
      </c>
      <c r="J1282" s="12" t="str">
        <f>HYPERLINK("https://www.boe.es/gazeta/dias/1803/12/20/pdfs/GMD-1803-102.pdf#page=9","Abrir facsímil")</f>
        <v>Abrir facsímil</v>
      </c>
      <c r="K1282" s="15" t="s">
        <v>23</v>
      </c>
    </row>
    <row r="1283" spans="1:11" ht="42" customHeight="1">
      <c r="A1283" s="4" t="s">
        <v>3438</v>
      </c>
      <c r="B1283" s="5" t="s">
        <v>3439</v>
      </c>
      <c r="C1283" s="5" t="s">
        <v>80</v>
      </c>
      <c r="D1283" s="5" t="s">
        <v>81</v>
      </c>
      <c r="E1283" s="5" t="s">
        <v>88</v>
      </c>
      <c r="F1283" s="9">
        <v>18</v>
      </c>
      <c r="G1283" s="9">
        <v>191</v>
      </c>
      <c r="H1283" s="5" t="s">
        <v>21</v>
      </c>
      <c r="I1283" s="5" t="s">
        <v>3440</v>
      </c>
      <c r="J1283" s="12" t="str">
        <f>HYPERLINK("https://www.boe.es/gazeta/dias/1803/03/04/pdfs/GMD-1803-18.pdf#page=11","Abrir facsímil")</f>
        <v>Abrir facsímil</v>
      </c>
      <c r="K1283" s="15" t="s">
        <v>23</v>
      </c>
    </row>
    <row r="1284" spans="1:11" ht="42" customHeight="1">
      <c r="A1284" s="4" t="s">
        <v>3441</v>
      </c>
      <c r="B1284" s="5" t="s">
        <v>3442</v>
      </c>
      <c r="C1284" s="5" t="s">
        <v>26</v>
      </c>
      <c r="D1284" s="5" t="s">
        <v>27</v>
      </c>
      <c r="E1284" s="5" t="s">
        <v>361</v>
      </c>
      <c r="F1284" s="9">
        <v>62</v>
      </c>
      <c r="G1284" s="9">
        <v>676</v>
      </c>
      <c r="H1284" s="5" t="s">
        <v>21</v>
      </c>
      <c r="I1284" s="5" t="s">
        <v>3443</v>
      </c>
      <c r="J1284" s="12" t="str">
        <f>HYPERLINK("https://www.boe.es/gazeta/dias/1803/08/05/pdfs/GMD-1803-62.pdf#page=8","Abrir facsímil")</f>
        <v>Abrir facsímil</v>
      </c>
      <c r="K1284" s="15" t="s">
        <v>23</v>
      </c>
    </row>
    <row r="1285" spans="1:11" ht="42" customHeight="1">
      <c r="A1285" s="4" t="s">
        <v>3444</v>
      </c>
      <c r="B1285" s="5" t="s">
        <v>3445</v>
      </c>
      <c r="C1285" s="5" t="s">
        <v>26</v>
      </c>
      <c r="D1285" s="5" t="s">
        <v>27</v>
      </c>
      <c r="E1285" s="5" t="s">
        <v>403</v>
      </c>
      <c r="F1285" s="9">
        <v>91</v>
      </c>
      <c r="G1285" s="9">
        <v>976</v>
      </c>
      <c r="H1285" s="5" t="s">
        <v>21</v>
      </c>
      <c r="I1285" s="5" t="s">
        <v>3446</v>
      </c>
      <c r="J1285" s="12" t="str">
        <f>HYPERLINK("https://www.boe.es/gazeta/dias/1803/11/11/pdfs/GMD-1803-91.pdf#page=8","Abrir facsímil")</f>
        <v>Abrir facsímil</v>
      </c>
      <c r="K1285" s="15" t="s">
        <v>23</v>
      </c>
    </row>
    <row r="1286" spans="1:11" ht="42" customHeight="1">
      <c r="A1286" s="4" t="s">
        <v>3447</v>
      </c>
      <c r="B1286" s="5" t="s">
        <v>3448</v>
      </c>
      <c r="C1286" s="5" t="s">
        <v>26</v>
      </c>
      <c r="D1286" s="5" t="s">
        <v>27</v>
      </c>
      <c r="E1286" s="5" t="s">
        <v>71</v>
      </c>
      <c r="F1286" s="9">
        <v>39</v>
      </c>
      <c r="G1286" s="9">
        <v>415</v>
      </c>
      <c r="H1286" s="5" t="s">
        <v>21</v>
      </c>
      <c r="I1286" s="5" t="s">
        <v>3449</v>
      </c>
      <c r="J1286" s="12" t="str">
        <f>HYPERLINK("https://www.boe.es/gazeta/dias/1803/05/17/pdfs/GMD-1803-39.pdf#page=11","Abrir facsímil")</f>
        <v>Abrir facsímil</v>
      </c>
      <c r="K1286" s="15" t="s">
        <v>23</v>
      </c>
    </row>
    <row r="1287" spans="1:11" ht="42" customHeight="1">
      <c r="A1287" s="4" t="s">
        <v>3447</v>
      </c>
      <c r="B1287" s="5" t="s">
        <v>3448</v>
      </c>
      <c r="C1287" s="5" t="s">
        <v>26</v>
      </c>
      <c r="D1287" s="5" t="s">
        <v>27</v>
      </c>
      <c r="E1287" s="5" t="s">
        <v>523</v>
      </c>
      <c r="F1287" s="9">
        <v>101</v>
      </c>
      <c r="G1287" s="9">
        <v>1087</v>
      </c>
      <c r="H1287" s="5" t="s">
        <v>21</v>
      </c>
      <c r="I1287" s="5" t="s">
        <v>3450</v>
      </c>
      <c r="J1287" s="12" t="str">
        <f>HYPERLINK("https://www.boe.es/gazeta/dias/1803/12/16/pdfs/GMD-1803-101.pdf#page=11","Abrir facsímil")</f>
        <v>Abrir facsímil</v>
      </c>
      <c r="K1287" s="15" t="s">
        <v>23</v>
      </c>
    </row>
    <row r="1288" spans="1:11" ht="42" customHeight="1">
      <c r="A1288" s="4" t="s">
        <v>3447</v>
      </c>
      <c r="B1288" s="5" t="s">
        <v>3448</v>
      </c>
      <c r="C1288" s="5" t="s">
        <v>26</v>
      </c>
      <c r="D1288" s="5" t="s">
        <v>27</v>
      </c>
      <c r="E1288" s="5" t="s">
        <v>109</v>
      </c>
      <c r="F1288" s="9">
        <v>102</v>
      </c>
      <c r="G1288" s="9">
        <v>1099</v>
      </c>
      <c r="H1288" s="5" t="s">
        <v>21</v>
      </c>
      <c r="I1288" s="5" t="s">
        <v>3451</v>
      </c>
      <c r="J1288" s="12" t="str">
        <f>HYPERLINK("https://www.boe.es/gazeta/dias/1803/12/20/pdfs/GMD-1803-102.pdf#page=11","Abrir facsímil")</f>
        <v>Abrir facsímil</v>
      </c>
      <c r="K1288" s="15" t="s">
        <v>23</v>
      </c>
    </row>
    <row r="1289" spans="1:11" ht="42" customHeight="1">
      <c r="A1289" s="4" t="s">
        <v>3452</v>
      </c>
      <c r="B1289" s="5" t="s">
        <v>3453</v>
      </c>
      <c r="C1289" s="5" t="s">
        <v>26</v>
      </c>
      <c r="D1289" s="5" t="s">
        <v>27</v>
      </c>
      <c r="E1289" s="5" t="s">
        <v>1051</v>
      </c>
      <c r="F1289" s="9">
        <v>40</v>
      </c>
      <c r="G1289" s="9">
        <v>423</v>
      </c>
      <c r="H1289" s="5" t="s">
        <v>21</v>
      </c>
      <c r="I1289" s="5" t="s">
        <v>3454</v>
      </c>
      <c r="J1289" s="12" t="str">
        <f>HYPERLINK("https://www.boe.es/gazeta/dias/1803/05/20/pdfs/GMD-1803-40.pdf#page=7","Abrir facsímil")</f>
        <v>Abrir facsímil</v>
      </c>
      <c r="K1289" s="15" t="s">
        <v>23</v>
      </c>
    </row>
    <row r="1290" spans="1:11" ht="42" customHeight="1">
      <c r="A1290" s="4" t="s">
        <v>3455</v>
      </c>
      <c r="B1290" s="5" t="s">
        <v>3456</v>
      </c>
      <c r="C1290" s="5" t="s">
        <v>26</v>
      </c>
      <c r="D1290" s="5" t="s">
        <v>27</v>
      </c>
      <c r="E1290" s="5" t="s">
        <v>289</v>
      </c>
      <c r="F1290" s="9">
        <v>38</v>
      </c>
      <c r="G1290" s="9">
        <v>401</v>
      </c>
      <c r="H1290" s="5" t="s">
        <v>21</v>
      </c>
      <c r="I1290" s="5" t="s">
        <v>3457</v>
      </c>
      <c r="J1290" s="12" t="str">
        <f>HYPERLINK("https://www.boe.es/gazeta/dias/1803/05/13/pdfs/GMD-1803-38.pdf#page=9","Abrir facsímil")</f>
        <v>Abrir facsímil</v>
      </c>
      <c r="K1290" s="15" t="s">
        <v>23</v>
      </c>
    </row>
    <row r="1291" spans="1:11" ht="42" customHeight="1">
      <c r="A1291" s="4" t="s">
        <v>3458</v>
      </c>
      <c r="B1291" s="5" t="s">
        <v>3459</v>
      </c>
      <c r="C1291" s="5" t="s">
        <v>26</v>
      </c>
      <c r="D1291" s="5" t="s">
        <v>27</v>
      </c>
      <c r="E1291" s="5" t="s">
        <v>726</v>
      </c>
      <c r="F1291" s="9">
        <v>78</v>
      </c>
      <c r="G1291" s="9">
        <v>839</v>
      </c>
      <c r="H1291" s="5" t="s">
        <v>21</v>
      </c>
      <c r="I1291" s="5" t="s">
        <v>3460</v>
      </c>
      <c r="J1291" s="12" t="str">
        <f>HYPERLINK("https://www.boe.es/gazeta/dias/1803/09/27/pdfs/GMD-1803-78.pdf#page=3","Abrir facsímil")</f>
        <v>Abrir facsímil</v>
      </c>
      <c r="K1291" s="15" t="s">
        <v>23</v>
      </c>
    </row>
    <row r="1292" spans="1:11" ht="42" customHeight="1">
      <c r="A1292" s="4" t="s">
        <v>3461</v>
      </c>
      <c r="B1292" s="5" t="s">
        <v>3462</v>
      </c>
      <c r="C1292" s="5" t="s">
        <v>18</v>
      </c>
      <c r="D1292" s="5" t="s">
        <v>19</v>
      </c>
      <c r="E1292" s="5" t="s">
        <v>361</v>
      </c>
      <c r="F1292" s="9">
        <v>62</v>
      </c>
      <c r="G1292" s="9">
        <v>675</v>
      </c>
      <c r="H1292" s="5" t="s">
        <v>21</v>
      </c>
      <c r="I1292" s="5" t="s">
        <v>3463</v>
      </c>
      <c r="J1292" s="12" t="str">
        <f>HYPERLINK("https://www.boe.es/gazeta/dias/1803/08/05/pdfs/GMD-1803-62.pdf#page=7","Abrir facsímil")</f>
        <v>Abrir facsímil</v>
      </c>
      <c r="K1292" s="15" t="s">
        <v>23</v>
      </c>
    </row>
    <row r="1293" spans="1:11" ht="42" customHeight="1">
      <c r="A1293" s="4" t="s">
        <v>3464</v>
      </c>
      <c r="B1293" s="5" t="s">
        <v>3465</v>
      </c>
      <c r="C1293" s="5" t="s">
        <v>80</v>
      </c>
      <c r="D1293" s="5" t="s">
        <v>81</v>
      </c>
      <c r="E1293" s="5" t="s">
        <v>199</v>
      </c>
      <c r="F1293" s="9">
        <v>88</v>
      </c>
      <c r="G1293" s="9">
        <v>947</v>
      </c>
      <c r="H1293" s="5" t="s">
        <v>21</v>
      </c>
      <c r="I1293" s="5" t="s">
        <v>3466</v>
      </c>
      <c r="J1293" s="12" t="str">
        <f>HYPERLINK("https://www.boe.es/gazeta/dias/1803/11/01/pdfs/GMD-1803-88.pdf#page=7","Abrir facsímil")</f>
        <v>Abrir facsímil</v>
      </c>
      <c r="K1293" s="15" t="s">
        <v>23</v>
      </c>
    </row>
    <row r="1294" spans="1:11" ht="42" customHeight="1">
      <c r="A1294" s="4" t="s">
        <v>3467</v>
      </c>
      <c r="B1294" s="5" t="s">
        <v>3468</v>
      </c>
      <c r="C1294" s="5" t="s">
        <v>26</v>
      </c>
      <c r="D1294" s="5" t="s">
        <v>27</v>
      </c>
      <c r="E1294" s="5" t="s">
        <v>1846</v>
      </c>
      <c r="F1294" s="9">
        <v>89</v>
      </c>
      <c r="G1294" s="9">
        <v>959</v>
      </c>
      <c r="H1294" s="5" t="s">
        <v>21</v>
      </c>
      <c r="I1294" s="5" t="s">
        <v>3469</v>
      </c>
      <c r="J1294" s="12" t="str">
        <f>HYPERLINK("https://www.boe.es/gazeta/dias/1803/11/04/pdfs/GMD-1803-89.pdf#page=7","Abrir facsímil")</f>
        <v>Abrir facsímil</v>
      </c>
      <c r="K1294" s="15" t="s">
        <v>23</v>
      </c>
    </row>
    <row r="1295" spans="1:11" ht="42" customHeight="1">
      <c r="A1295" s="4" t="s">
        <v>3470</v>
      </c>
      <c r="B1295" s="5" t="s">
        <v>3471</v>
      </c>
      <c r="C1295" s="5" t="s">
        <v>80</v>
      </c>
      <c r="D1295" s="5" t="s">
        <v>81</v>
      </c>
      <c r="E1295" s="5" t="s">
        <v>328</v>
      </c>
      <c r="F1295" s="9">
        <v>54</v>
      </c>
      <c r="G1295" s="9">
        <v>592</v>
      </c>
      <c r="H1295" s="5" t="s">
        <v>21</v>
      </c>
      <c r="I1295" s="5" t="s">
        <v>3472</v>
      </c>
      <c r="J1295" s="12" t="str">
        <f>HYPERLINK("https://www.boe.es/gazeta/dias/1803/07/08/pdfs/GMD-1803-54.pdf#page=12","Abrir facsímil")</f>
        <v>Abrir facsímil</v>
      </c>
      <c r="K1295" s="15" t="s">
        <v>23</v>
      </c>
    </row>
    <row r="1296" spans="1:11" ht="42" customHeight="1">
      <c r="A1296" s="4" t="s">
        <v>3473</v>
      </c>
      <c r="B1296" s="5" t="s">
        <v>3474</v>
      </c>
      <c r="C1296" s="5" t="s">
        <v>26</v>
      </c>
      <c r="D1296" s="5" t="s">
        <v>27</v>
      </c>
      <c r="E1296" s="5" t="s">
        <v>124</v>
      </c>
      <c r="F1296" s="9">
        <v>20</v>
      </c>
      <c r="G1296" s="9">
        <v>209</v>
      </c>
      <c r="H1296" s="5" t="s">
        <v>21</v>
      </c>
      <c r="I1296" s="5" t="s">
        <v>3475</v>
      </c>
      <c r="J1296" s="12" t="str">
        <f>HYPERLINK("https://www.boe.es/gazeta/dias/1803/03/11/pdfs/GMD-1803-20.pdf#page=5","Abrir facsímil")</f>
        <v>Abrir facsímil</v>
      </c>
      <c r="K1296" s="15" t="s">
        <v>23</v>
      </c>
    </row>
    <row r="1297" spans="1:11" ht="42" customHeight="1">
      <c r="A1297" s="4" t="s">
        <v>3476</v>
      </c>
      <c r="B1297" s="5" t="s">
        <v>3477</v>
      </c>
      <c r="C1297" s="5" t="s">
        <v>26</v>
      </c>
      <c r="D1297" s="5" t="s">
        <v>27</v>
      </c>
      <c r="E1297" s="5" t="s">
        <v>657</v>
      </c>
      <c r="F1297" s="9">
        <v>24</v>
      </c>
      <c r="G1297" s="9">
        <v>256</v>
      </c>
      <c r="H1297" s="5" t="s">
        <v>21</v>
      </c>
      <c r="I1297" s="5" t="s">
        <v>3478</v>
      </c>
      <c r="J1297" s="12" t="str">
        <f>HYPERLINK("https://www.boe.es/gazeta/dias/1803/03/25/pdfs/GMD-1803-24.pdf#page=8","Abrir facsímil")</f>
        <v>Abrir facsímil</v>
      </c>
      <c r="K1297" s="15" t="s">
        <v>23</v>
      </c>
    </row>
    <row r="1298" spans="1:11" ht="42" customHeight="1">
      <c r="A1298" s="4" t="s">
        <v>3479</v>
      </c>
      <c r="B1298" s="5" t="s">
        <v>3480</v>
      </c>
      <c r="C1298" s="5" t="s">
        <v>26</v>
      </c>
      <c r="D1298" s="5" t="s">
        <v>27</v>
      </c>
      <c r="E1298" s="5" t="s">
        <v>71</v>
      </c>
      <c r="F1298" s="9">
        <v>39</v>
      </c>
      <c r="G1298" s="9">
        <v>412</v>
      </c>
      <c r="H1298" s="5" t="s">
        <v>21</v>
      </c>
      <c r="I1298" s="5" t="s">
        <v>3481</v>
      </c>
      <c r="J1298" s="12" t="str">
        <f>HYPERLINK("https://www.boe.es/gazeta/dias/1803/05/17/pdfs/GMD-1803-39.pdf#page=8","Abrir facsímil")</f>
        <v>Abrir facsímil</v>
      </c>
      <c r="K1298" s="15" t="s">
        <v>23</v>
      </c>
    </row>
    <row r="1299" spans="1:11" ht="42" customHeight="1">
      <c r="A1299" s="4" t="s">
        <v>3482</v>
      </c>
      <c r="B1299" s="5" t="s">
        <v>3483</v>
      </c>
      <c r="C1299" s="5" t="s">
        <v>26</v>
      </c>
      <c r="D1299" s="5" t="s">
        <v>27</v>
      </c>
      <c r="E1299" s="5" t="s">
        <v>403</v>
      </c>
      <c r="F1299" s="9">
        <v>91</v>
      </c>
      <c r="G1299" s="9">
        <v>977</v>
      </c>
      <c r="H1299" s="5" t="s">
        <v>21</v>
      </c>
      <c r="I1299" s="5" t="s">
        <v>3484</v>
      </c>
      <c r="J1299" s="12" t="str">
        <f>HYPERLINK("https://www.boe.es/gazeta/dias/1803/11/11/pdfs/GMD-1803-91.pdf#page=9","Abrir facsímil")</f>
        <v>Abrir facsímil</v>
      </c>
      <c r="K1299" s="15" t="s">
        <v>23</v>
      </c>
    </row>
    <row r="1300" spans="1:11" ht="42" customHeight="1">
      <c r="A1300" s="4" t="s">
        <v>3485</v>
      </c>
      <c r="B1300" s="5" t="s">
        <v>3486</v>
      </c>
      <c r="C1300" s="5" t="s">
        <v>18</v>
      </c>
      <c r="D1300" s="5" t="s">
        <v>19</v>
      </c>
      <c r="E1300" s="5" t="s">
        <v>395</v>
      </c>
      <c r="F1300" s="9">
        <v>13</v>
      </c>
      <c r="G1300" s="9">
        <v>133</v>
      </c>
      <c r="H1300" s="5" t="s">
        <v>21</v>
      </c>
      <c r="I1300" s="5" t="s">
        <v>3487</v>
      </c>
      <c r="J1300" s="12" t="str">
        <f>HYPERLINK("https://www.boe.es/gazeta/dias/1803/02/15/pdfs/GMD-1803-13.pdf#page=9","Abrir facsímil")</f>
        <v>Abrir facsímil</v>
      </c>
      <c r="K1300" s="15" t="s">
        <v>23</v>
      </c>
    </row>
    <row r="1301" spans="1:11" ht="42" customHeight="1">
      <c r="A1301" s="4" t="s">
        <v>3488</v>
      </c>
      <c r="B1301" s="5" t="s">
        <v>3489</v>
      </c>
      <c r="C1301" s="5" t="s">
        <v>26</v>
      </c>
      <c r="D1301" s="5" t="s">
        <v>27</v>
      </c>
      <c r="E1301" s="5" t="s">
        <v>442</v>
      </c>
      <c r="F1301" s="9" t="s">
        <v>443</v>
      </c>
      <c r="G1301" s="9">
        <v>793</v>
      </c>
      <c r="H1301" s="5" t="s">
        <v>21</v>
      </c>
      <c r="I1301" s="5" t="s">
        <v>3490</v>
      </c>
      <c r="J1301" s="12" t="str">
        <f>HYPERLINK("https://www.boe.es/gazeta/dias/1803/09/12/pdfs/GMD-1803-73E.pdf#page=5","Abrir facsímil")</f>
        <v>Abrir facsímil</v>
      </c>
      <c r="K1301" s="15" t="s">
        <v>23</v>
      </c>
    </row>
    <row r="1302" spans="1:11" ht="42" customHeight="1">
      <c r="A1302" s="4" t="s">
        <v>3491</v>
      </c>
      <c r="B1302" s="5" t="s">
        <v>3492</v>
      </c>
      <c r="C1302" s="5" t="s">
        <v>26</v>
      </c>
      <c r="D1302" s="5" t="s">
        <v>27</v>
      </c>
      <c r="E1302" s="5" t="s">
        <v>88</v>
      </c>
      <c r="F1302" s="9">
        <v>18</v>
      </c>
      <c r="G1302" s="9">
        <v>191</v>
      </c>
      <c r="H1302" s="5" t="s">
        <v>21</v>
      </c>
      <c r="I1302" s="5" t="s">
        <v>3493</v>
      </c>
      <c r="J1302" s="12" t="str">
        <f>HYPERLINK("https://www.boe.es/gazeta/dias/1803/03/04/pdfs/GMD-1803-18.pdf#page=11","Abrir facsímil")</f>
        <v>Abrir facsímil</v>
      </c>
      <c r="K1302" s="15" t="s">
        <v>23</v>
      </c>
    </row>
    <row r="1303" spans="1:11" ht="42" customHeight="1">
      <c r="A1303" s="4" t="s">
        <v>3491</v>
      </c>
      <c r="B1303" s="5" t="s">
        <v>3492</v>
      </c>
      <c r="C1303" s="5" t="s">
        <v>26</v>
      </c>
      <c r="D1303" s="5" t="s">
        <v>27</v>
      </c>
      <c r="E1303" s="5" t="s">
        <v>218</v>
      </c>
      <c r="F1303" s="9">
        <v>19</v>
      </c>
      <c r="G1303" s="9">
        <v>203</v>
      </c>
      <c r="H1303" s="5" t="s">
        <v>21</v>
      </c>
      <c r="I1303" s="5" t="s">
        <v>3494</v>
      </c>
      <c r="J1303" s="12" t="str">
        <f>HYPERLINK("https://www.boe.es/gazeta/dias/1803/03/08/pdfs/GMD-1803-19.pdf#page=11","Abrir facsímil")</f>
        <v>Abrir facsímil</v>
      </c>
      <c r="K1303" s="15" t="s">
        <v>23</v>
      </c>
    </row>
    <row r="1304" spans="1:11" ht="42" customHeight="1">
      <c r="A1304" s="4" t="s">
        <v>3491</v>
      </c>
      <c r="B1304" s="5" t="s">
        <v>3492</v>
      </c>
      <c r="C1304" s="5" t="s">
        <v>26</v>
      </c>
      <c r="D1304" s="5" t="s">
        <v>27</v>
      </c>
      <c r="E1304" s="5" t="s">
        <v>272</v>
      </c>
      <c r="F1304" s="9">
        <v>25</v>
      </c>
      <c r="G1304" s="9">
        <v>267</v>
      </c>
      <c r="H1304" s="5" t="s">
        <v>21</v>
      </c>
      <c r="I1304" s="5" t="s">
        <v>3495</v>
      </c>
      <c r="J1304" s="12" t="str">
        <f>HYPERLINK("https://www.boe.es/gazeta/dias/1803/03/29/pdfs/GMD-1803-25.pdf#page=7","Abrir facsímil")</f>
        <v>Abrir facsímil</v>
      </c>
      <c r="K1304" s="15" t="s">
        <v>23</v>
      </c>
    </row>
    <row r="1305" spans="1:11" ht="42" customHeight="1">
      <c r="A1305" s="4" t="s">
        <v>3491</v>
      </c>
      <c r="B1305" s="5" t="s">
        <v>3492</v>
      </c>
      <c r="C1305" s="5" t="s">
        <v>26</v>
      </c>
      <c r="D1305" s="5" t="s">
        <v>27</v>
      </c>
      <c r="E1305" s="5" t="s">
        <v>207</v>
      </c>
      <c r="F1305" s="9">
        <v>27</v>
      </c>
      <c r="G1305" s="9">
        <v>294</v>
      </c>
      <c r="H1305" s="5" t="s">
        <v>21</v>
      </c>
      <c r="I1305" s="5" t="s">
        <v>3496</v>
      </c>
      <c r="J1305" s="12" t="str">
        <f>HYPERLINK("https://www.boe.es/gazeta/dias/1803/04/05/pdfs/GMD-1803-27.pdf#page=10","Abrir facsímil")</f>
        <v>Abrir facsímil</v>
      </c>
      <c r="K1305" s="15" t="s">
        <v>23</v>
      </c>
    </row>
    <row r="1306" spans="1:11" ht="42" customHeight="1">
      <c r="A1306" s="4" t="s">
        <v>3491</v>
      </c>
      <c r="B1306" s="5" t="s">
        <v>3492</v>
      </c>
      <c r="C1306" s="5" t="s">
        <v>80</v>
      </c>
      <c r="D1306" s="5" t="s">
        <v>81</v>
      </c>
      <c r="E1306" s="5" t="s">
        <v>752</v>
      </c>
      <c r="F1306" s="9">
        <v>30</v>
      </c>
      <c r="G1306" s="9">
        <v>320</v>
      </c>
      <c r="H1306" s="5" t="s">
        <v>21</v>
      </c>
      <c r="I1306" s="5" t="s">
        <v>3497</v>
      </c>
      <c r="J1306" s="12" t="str">
        <f>HYPERLINK("https://www.boe.es/gazeta/dias/1803/04/15/pdfs/GMD-1803-30.pdf#page=8","Abrir facsímil")</f>
        <v>Abrir facsímil</v>
      </c>
      <c r="K1306" s="15" t="s">
        <v>23</v>
      </c>
    </row>
    <row r="1307" spans="1:11" ht="42" customHeight="1">
      <c r="A1307" s="4" t="s">
        <v>3491</v>
      </c>
      <c r="B1307" s="5" t="s">
        <v>3492</v>
      </c>
      <c r="C1307" s="5" t="s">
        <v>26</v>
      </c>
      <c r="D1307" s="5" t="s">
        <v>27</v>
      </c>
      <c r="E1307" s="5" t="s">
        <v>203</v>
      </c>
      <c r="F1307" s="9">
        <v>32</v>
      </c>
      <c r="G1307" s="9">
        <v>339</v>
      </c>
      <c r="H1307" s="5" t="s">
        <v>21</v>
      </c>
      <c r="I1307" s="5" t="s">
        <v>3498</v>
      </c>
      <c r="J1307" s="12" t="str">
        <f>HYPERLINK("https://www.boe.es/gazeta/dias/1803/04/22/pdfs/GMD-1803-32.pdf#page=11","Abrir facsímil")</f>
        <v>Abrir facsímil</v>
      </c>
      <c r="K1307" s="15" t="s">
        <v>23</v>
      </c>
    </row>
    <row r="1308" spans="1:11" ht="42" customHeight="1">
      <c r="A1308" s="4" t="s">
        <v>3491</v>
      </c>
      <c r="B1308" s="5" t="s">
        <v>3492</v>
      </c>
      <c r="C1308" s="5" t="s">
        <v>26</v>
      </c>
      <c r="D1308" s="5" t="s">
        <v>27</v>
      </c>
      <c r="E1308" s="5" t="s">
        <v>967</v>
      </c>
      <c r="F1308" s="9">
        <v>35</v>
      </c>
      <c r="G1308" s="9">
        <v>367</v>
      </c>
      <c r="H1308" s="5" t="s">
        <v>21</v>
      </c>
      <c r="I1308" s="5" t="s">
        <v>3499</v>
      </c>
      <c r="J1308" s="12" t="str">
        <f>HYPERLINK("https://www.boe.es/gazeta/dias/1803/05/03/pdfs/GMD-1803-35.pdf#page=7","Abrir facsímil")</f>
        <v>Abrir facsímil</v>
      </c>
      <c r="K1308" s="15" t="s">
        <v>23</v>
      </c>
    </row>
    <row r="1309" spans="1:11" ht="42" customHeight="1">
      <c r="A1309" s="4" t="s">
        <v>3491</v>
      </c>
      <c r="B1309" s="5" t="s">
        <v>3492</v>
      </c>
      <c r="C1309" s="5" t="s">
        <v>46</v>
      </c>
      <c r="D1309" s="5" t="s">
        <v>19</v>
      </c>
      <c r="E1309" s="5" t="s">
        <v>71</v>
      </c>
      <c r="F1309" s="9">
        <v>39</v>
      </c>
      <c r="G1309" s="9">
        <v>415</v>
      </c>
      <c r="H1309" s="5" t="s">
        <v>21</v>
      </c>
      <c r="I1309" s="5" t="s">
        <v>3500</v>
      </c>
      <c r="J1309" s="12" t="str">
        <f>HYPERLINK("https://www.boe.es/gazeta/dias/1803/05/17/pdfs/GMD-1803-39.pdf#page=11","Abrir facsímil")</f>
        <v>Abrir facsímil</v>
      </c>
      <c r="K1309" s="15" t="s">
        <v>23</v>
      </c>
    </row>
    <row r="1310" spans="1:11" ht="42" customHeight="1">
      <c r="A1310" s="4" t="s">
        <v>3491</v>
      </c>
      <c r="B1310" s="5" t="s">
        <v>3492</v>
      </c>
      <c r="C1310" s="5" t="s">
        <v>26</v>
      </c>
      <c r="D1310" s="5" t="s">
        <v>27</v>
      </c>
      <c r="E1310" s="5" t="s">
        <v>85</v>
      </c>
      <c r="F1310" s="9">
        <v>49</v>
      </c>
      <c r="G1310" s="9">
        <v>522</v>
      </c>
      <c r="H1310" s="5" t="s">
        <v>21</v>
      </c>
      <c r="I1310" s="5" t="s">
        <v>3501</v>
      </c>
      <c r="J1310" s="12" t="str">
        <f>HYPERLINK("https://www.boe.es/gazeta/dias/1803/06/21/pdfs/GMD-1803-49.pdf#page=10","Abrir facsímil")</f>
        <v>Abrir facsímil</v>
      </c>
      <c r="K1310" s="15" t="s">
        <v>23</v>
      </c>
    </row>
    <row r="1311" spans="1:11" ht="42" customHeight="1">
      <c r="A1311" s="4" t="s">
        <v>3491</v>
      </c>
      <c r="B1311" s="5" t="s">
        <v>3492</v>
      </c>
      <c r="C1311" s="5" t="s">
        <v>26</v>
      </c>
      <c r="D1311" s="5" t="s">
        <v>27</v>
      </c>
      <c r="E1311" s="5" t="s">
        <v>619</v>
      </c>
      <c r="F1311" s="9">
        <v>53</v>
      </c>
      <c r="G1311" s="9">
        <v>580</v>
      </c>
      <c r="H1311" s="5" t="s">
        <v>21</v>
      </c>
      <c r="I1311" s="5" t="s">
        <v>3502</v>
      </c>
      <c r="J1311" s="12" t="str">
        <f>HYPERLINK("https://www.boe.es/gazeta/dias/1803/07/05/pdfs/GMD-1803-53.pdf#page=12","Abrir facsímil")</f>
        <v>Abrir facsímil</v>
      </c>
      <c r="K1311" s="15" t="s">
        <v>23</v>
      </c>
    </row>
    <row r="1312" spans="1:11" ht="42" customHeight="1">
      <c r="A1312" s="4" t="s">
        <v>3491</v>
      </c>
      <c r="B1312" s="5" t="s">
        <v>3492</v>
      </c>
      <c r="C1312" s="5" t="s">
        <v>26</v>
      </c>
      <c r="D1312" s="5" t="s">
        <v>27</v>
      </c>
      <c r="E1312" s="5" t="s">
        <v>480</v>
      </c>
      <c r="F1312" s="9">
        <v>87</v>
      </c>
      <c r="G1312" s="9">
        <v>940</v>
      </c>
      <c r="H1312" s="5" t="s">
        <v>21</v>
      </c>
      <c r="I1312" s="5" t="s">
        <v>3503</v>
      </c>
      <c r="J1312" s="12" t="str">
        <f>HYPERLINK("https://www.boe.es/gazeta/dias/1803/10/28/pdfs/GMD-1803-87.pdf#page=8","Abrir facsímil")</f>
        <v>Abrir facsímil</v>
      </c>
      <c r="K1312" s="15" t="s">
        <v>23</v>
      </c>
    </row>
    <row r="1313" spans="1:11" ht="42" customHeight="1">
      <c r="A1313" s="4" t="s">
        <v>3491</v>
      </c>
      <c r="B1313" s="5" t="s">
        <v>3492</v>
      </c>
      <c r="C1313" s="5" t="s">
        <v>26</v>
      </c>
      <c r="D1313" s="5" t="s">
        <v>27</v>
      </c>
      <c r="E1313" s="5" t="s">
        <v>109</v>
      </c>
      <c r="F1313" s="9">
        <v>102</v>
      </c>
      <c r="G1313" s="9">
        <v>1099</v>
      </c>
      <c r="H1313" s="5" t="s">
        <v>21</v>
      </c>
      <c r="I1313" s="5" t="s">
        <v>3504</v>
      </c>
      <c r="J1313" s="12" t="str">
        <f>HYPERLINK("https://www.boe.es/gazeta/dias/1803/12/20/pdfs/GMD-1803-102.pdf#page=11","Abrir facsímil")</f>
        <v>Abrir facsímil</v>
      </c>
      <c r="K1313" s="15" t="s">
        <v>23</v>
      </c>
    </row>
    <row r="1314" spans="1:11" ht="42" customHeight="1">
      <c r="A1314" s="4" t="s">
        <v>3505</v>
      </c>
      <c r="B1314" s="5" t="s">
        <v>3506</v>
      </c>
      <c r="C1314" s="5" t="s">
        <v>26</v>
      </c>
      <c r="D1314" s="5" t="s">
        <v>27</v>
      </c>
      <c r="E1314" s="5" t="s">
        <v>189</v>
      </c>
      <c r="F1314" s="9">
        <v>9</v>
      </c>
      <c r="G1314" s="9">
        <v>95</v>
      </c>
      <c r="H1314" s="5" t="s">
        <v>21</v>
      </c>
      <c r="I1314" s="5" t="s">
        <v>3507</v>
      </c>
      <c r="J1314" s="12" t="str">
        <f>HYPERLINK("https://www.boe.es/gazeta/dias/1803/02/01/pdfs/GMD-1803-9.pdf#page=11","Abrir facsímil")</f>
        <v>Abrir facsímil</v>
      </c>
      <c r="K1314" s="15" t="s">
        <v>23</v>
      </c>
    </row>
    <row r="1315" spans="1:11" ht="42" customHeight="1">
      <c r="A1315" s="4" t="s">
        <v>3508</v>
      </c>
      <c r="B1315" s="5" t="s">
        <v>3509</v>
      </c>
      <c r="C1315" s="5" t="s">
        <v>46</v>
      </c>
      <c r="D1315" s="5" t="s">
        <v>19</v>
      </c>
      <c r="E1315" s="5" t="s">
        <v>83</v>
      </c>
      <c r="F1315" s="9">
        <v>28</v>
      </c>
      <c r="G1315" s="9">
        <v>304</v>
      </c>
      <c r="H1315" s="5" t="s">
        <v>21</v>
      </c>
      <c r="I1315" s="5" t="s">
        <v>3510</v>
      </c>
      <c r="J1315" s="12" t="str">
        <f>HYPERLINK("https://www.boe.es/gazeta/dias/1803/04/08/pdfs/GMD-1803-28.pdf#page=8","Abrir facsímil")</f>
        <v>Abrir facsímil</v>
      </c>
      <c r="K1315" s="15" t="s">
        <v>23</v>
      </c>
    </row>
    <row r="1316" spans="1:11" ht="42" customHeight="1">
      <c r="A1316" s="4" t="s">
        <v>3511</v>
      </c>
      <c r="B1316" s="5" t="s">
        <v>3512</v>
      </c>
      <c r="C1316" s="5" t="s">
        <v>46</v>
      </c>
      <c r="D1316" s="5" t="s">
        <v>19</v>
      </c>
      <c r="E1316" s="5" t="s">
        <v>83</v>
      </c>
      <c r="F1316" s="9">
        <v>28</v>
      </c>
      <c r="G1316" s="9">
        <v>304</v>
      </c>
      <c r="H1316" s="5" t="s">
        <v>21</v>
      </c>
      <c r="I1316" s="5" t="s">
        <v>3513</v>
      </c>
      <c r="J1316" s="12" t="str">
        <f>HYPERLINK("https://www.boe.es/gazeta/dias/1803/04/08/pdfs/GMD-1803-28.pdf#page=8","Abrir facsímil")</f>
        <v>Abrir facsímil</v>
      </c>
      <c r="K1316" s="15" t="s">
        <v>23</v>
      </c>
    </row>
    <row r="1317" spans="1:11" ht="42" customHeight="1">
      <c r="A1317" s="4" t="s">
        <v>3514</v>
      </c>
      <c r="B1317" s="5" t="s">
        <v>3515</v>
      </c>
      <c r="C1317" s="5" t="s">
        <v>26</v>
      </c>
      <c r="D1317" s="5" t="s">
        <v>27</v>
      </c>
      <c r="E1317" s="5" t="s">
        <v>919</v>
      </c>
      <c r="F1317" s="9">
        <v>69</v>
      </c>
      <c r="G1317" s="9">
        <v>749</v>
      </c>
      <c r="H1317" s="5" t="s">
        <v>21</v>
      </c>
      <c r="I1317" s="5" t="s">
        <v>3516</v>
      </c>
      <c r="J1317" s="12" t="str">
        <f>HYPERLINK("https://www.boe.es/gazeta/dias/1803/08/30/pdfs/GMD-1803-69.pdf#page=5","Abrir facsímil")</f>
        <v>Abrir facsímil</v>
      </c>
      <c r="K1317" s="15" t="s">
        <v>23</v>
      </c>
    </row>
    <row r="1318" spans="1:11" ht="42" customHeight="1">
      <c r="A1318" s="4" t="s">
        <v>3517</v>
      </c>
      <c r="B1318" s="5" t="s">
        <v>3518</v>
      </c>
      <c r="C1318" s="5" t="s">
        <v>51</v>
      </c>
      <c r="D1318" s="5" t="s">
        <v>52</v>
      </c>
      <c r="E1318" s="5" t="s">
        <v>313</v>
      </c>
      <c r="F1318" s="9">
        <v>14</v>
      </c>
      <c r="G1318" s="9">
        <v>143</v>
      </c>
      <c r="H1318" s="5" t="s">
        <v>21</v>
      </c>
      <c r="I1318" s="5" t="s">
        <v>3519</v>
      </c>
      <c r="J1318" s="12" t="str">
        <f>HYPERLINK("https://www.boe.es/gazeta/dias/1803/02/18/pdfs/GMD-1803-14.pdf#page=7","Abrir facsímil")</f>
        <v>Abrir facsímil</v>
      </c>
      <c r="K1318" s="15" t="s">
        <v>23</v>
      </c>
    </row>
    <row r="1319" spans="1:11" ht="42" customHeight="1">
      <c r="A1319" s="4" t="s">
        <v>3520</v>
      </c>
      <c r="B1319" s="5" t="s">
        <v>3521</v>
      </c>
      <c r="C1319" s="5" t="s">
        <v>80</v>
      </c>
      <c r="D1319" s="5" t="s">
        <v>81</v>
      </c>
      <c r="E1319" s="5" t="s">
        <v>389</v>
      </c>
      <c r="F1319" s="9">
        <v>41</v>
      </c>
      <c r="G1319" s="9">
        <v>432</v>
      </c>
      <c r="H1319" s="5" t="s">
        <v>21</v>
      </c>
      <c r="I1319" s="5" t="s">
        <v>3522</v>
      </c>
      <c r="J1319" s="12" t="str">
        <f>HYPERLINK("https://www.boe.es/gazeta/dias/1803/05/24/pdfs/GMD-1803-41.pdf#page=8","Abrir facsímil")</f>
        <v>Abrir facsímil</v>
      </c>
      <c r="K1319" s="15" t="s">
        <v>23</v>
      </c>
    </row>
    <row r="1320" spans="1:11" ht="42" customHeight="1">
      <c r="A1320" s="4" t="s">
        <v>3523</v>
      </c>
      <c r="B1320" s="5" t="s">
        <v>3524</v>
      </c>
      <c r="C1320" s="5" t="s">
        <v>26</v>
      </c>
      <c r="D1320" s="5" t="s">
        <v>27</v>
      </c>
      <c r="E1320" s="5" t="s">
        <v>258</v>
      </c>
      <c r="F1320" s="9">
        <v>7</v>
      </c>
      <c r="G1320" s="9">
        <v>70</v>
      </c>
      <c r="H1320" s="5" t="s">
        <v>21</v>
      </c>
      <c r="I1320" s="5" t="s">
        <v>3525</v>
      </c>
      <c r="J1320" s="12" t="str">
        <f>HYPERLINK("https://www.boe.es/gazeta/dias/1803/01/25/pdfs/GMD-1803-7.pdf#page=10","Abrir facsímil")</f>
        <v>Abrir facsímil</v>
      </c>
      <c r="K1320" s="15" t="s">
        <v>23</v>
      </c>
    </row>
    <row r="1321" spans="1:11" ht="42" customHeight="1">
      <c r="A1321" s="4" t="s">
        <v>3526</v>
      </c>
      <c r="B1321" s="5" t="s">
        <v>3527</v>
      </c>
      <c r="C1321" s="5" t="s">
        <v>26</v>
      </c>
      <c r="D1321" s="5" t="s">
        <v>27</v>
      </c>
      <c r="E1321" s="5" t="s">
        <v>138</v>
      </c>
      <c r="F1321" s="9">
        <v>68</v>
      </c>
      <c r="G1321" s="9">
        <v>742</v>
      </c>
      <c r="H1321" s="5" t="s">
        <v>21</v>
      </c>
      <c r="I1321" s="5" t="s">
        <v>3528</v>
      </c>
      <c r="J1321" s="12" t="str">
        <f>HYPERLINK("https://www.boe.es/gazeta/dias/1803/08/26/pdfs/GMD-1803-68.pdf#page=10","Abrir facsímil")</f>
        <v>Abrir facsímil</v>
      </c>
      <c r="K1321" s="15" t="s">
        <v>23</v>
      </c>
    </row>
    <row r="1322" spans="1:11" ht="42" customHeight="1">
      <c r="A1322" s="4" t="s">
        <v>3529</v>
      </c>
      <c r="B1322" s="5" t="s">
        <v>3530</v>
      </c>
      <c r="C1322" s="5" t="s">
        <v>26</v>
      </c>
      <c r="D1322" s="5" t="s">
        <v>27</v>
      </c>
      <c r="E1322" s="5" t="s">
        <v>83</v>
      </c>
      <c r="F1322" s="9">
        <v>28</v>
      </c>
      <c r="G1322" s="9">
        <v>303</v>
      </c>
      <c r="H1322" s="5" t="s">
        <v>21</v>
      </c>
      <c r="I1322" s="5" t="s">
        <v>3531</v>
      </c>
      <c r="J1322" s="12" t="str">
        <f>HYPERLINK("https://www.boe.es/gazeta/dias/1803/04/08/pdfs/GMD-1803-28.pdf#page=7","Abrir facsímil")</f>
        <v>Abrir facsímil</v>
      </c>
      <c r="K1322" s="15" t="s">
        <v>23</v>
      </c>
    </row>
    <row r="1323" spans="1:11" ht="42" customHeight="1">
      <c r="A1323" s="4" t="s">
        <v>3532</v>
      </c>
      <c r="B1323" s="5" t="s">
        <v>3533</v>
      </c>
      <c r="C1323" s="5" t="s">
        <v>26</v>
      </c>
      <c r="D1323" s="5" t="s">
        <v>27</v>
      </c>
      <c r="E1323" s="5" t="s">
        <v>919</v>
      </c>
      <c r="F1323" s="9">
        <v>69</v>
      </c>
      <c r="G1323" s="9">
        <v>749</v>
      </c>
      <c r="H1323" s="5" t="s">
        <v>21</v>
      </c>
      <c r="I1323" s="5" t="s">
        <v>3534</v>
      </c>
      <c r="J1323" s="12" t="str">
        <f>HYPERLINK("https://www.boe.es/gazeta/dias/1803/08/30/pdfs/GMD-1803-69.pdf#page=5","Abrir facsímil")</f>
        <v>Abrir facsímil</v>
      </c>
      <c r="K1323" s="15" t="s">
        <v>23</v>
      </c>
    </row>
    <row r="1324" spans="1:11" ht="42" customHeight="1">
      <c r="A1324" s="4" t="s">
        <v>3535</v>
      </c>
      <c r="B1324" s="5" t="s">
        <v>3536</v>
      </c>
      <c r="C1324" s="5" t="s">
        <v>26</v>
      </c>
      <c r="D1324" s="5" t="s">
        <v>27</v>
      </c>
      <c r="E1324" s="5" t="s">
        <v>77</v>
      </c>
      <c r="F1324" s="9">
        <v>64</v>
      </c>
      <c r="G1324" s="9">
        <v>698</v>
      </c>
      <c r="H1324" s="5" t="s">
        <v>21</v>
      </c>
      <c r="I1324" s="5" t="s">
        <v>3537</v>
      </c>
      <c r="J1324" s="12" t="str">
        <f>HYPERLINK("https://www.boe.es/gazeta/dias/1803/08/12/pdfs/GMD-1803-64.pdf#page=6","Abrir facsímil")</f>
        <v>Abrir facsímil</v>
      </c>
      <c r="K1324" s="15" t="s">
        <v>23</v>
      </c>
    </row>
    <row r="1325" spans="1:11" ht="42" customHeight="1">
      <c r="A1325" s="4" t="s">
        <v>3538</v>
      </c>
      <c r="B1325" s="5" t="s">
        <v>3539</v>
      </c>
      <c r="C1325" s="5" t="s">
        <v>26</v>
      </c>
      <c r="D1325" s="5" t="s">
        <v>27</v>
      </c>
      <c r="E1325" s="5" t="s">
        <v>258</v>
      </c>
      <c r="F1325" s="9">
        <v>7</v>
      </c>
      <c r="G1325" s="9">
        <v>70</v>
      </c>
      <c r="H1325" s="5" t="s">
        <v>21</v>
      </c>
      <c r="I1325" s="5" t="s">
        <v>3540</v>
      </c>
      <c r="J1325" s="12" t="str">
        <f>HYPERLINK("https://www.boe.es/gazeta/dias/1803/01/25/pdfs/GMD-1803-7.pdf#page=10","Abrir facsímil")</f>
        <v>Abrir facsímil</v>
      </c>
      <c r="K1325" s="15" t="s">
        <v>23</v>
      </c>
    </row>
    <row r="1326" spans="1:11" ht="42" customHeight="1">
      <c r="A1326" s="4" t="s">
        <v>3541</v>
      </c>
      <c r="B1326" s="5" t="s">
        <v>3542</v>
      </c>
      <c r="C1326" s="5" t="s">
        <v>18</v>
      </c>
      <c r="D1326" s="5" t="s">
        <v>19</v>
      </c>
      <c r="E1326" s="5" t="s">
        <v>439</v>
      </c>
      <c r="F1326" s="9">
        <v>76</v>
      </c>
      <c r="G1326" s="9">
        <v>822</v>
      </c>
      <c r="H1326" s="5" t="s">
        <v>21</v>
      </c>
      <c r="I1326" s="5" t="s">
        <v>3543</v>
      </c>
      <c r="J1326" s="12" t="str">
        <f>HYPERLINK("https://www.boe.es/gazeta/dias/1803/09/20/pdfs/GMD-1803-76.pdf#page=10","Abrir facsímil")</f>
        <v>Abrir facsímil</v>
      </c>
      <c r="K1326" s="15" t="s">
        <v>23</v>
      </c>
    </row>
    <row r="1327" spans="1:11" ht="42" customHeight="1">
      <c r="A1327" s="4" t="s">
        <v>3541</v>
      </c>
      <c r="B1327" s="5" t="s">
        <v>3542</v>
      </c>
      <c r="C1327" s="5" t="s">
        <v>26</v>
      </c>
      <c r="D1327" s="5" t="s">
        <v>27</v>
      </c>
      <c r="E1327" s="5" t="s">
        <v>1846</v>
      </c>
      <c r="F1327" s="9">
        <v>89</v>
      </c>
      <c r="G1327" s="9">
        <v>959</v>
      </c>
      <c r="H1327" s="5" t="s">
        <v>21</v>
      </c>
      <c r="I1327" s="5" t="s">
        <v>3544</v>
      </c>
      <c r="J1327" s="12" t="str">
        <f>HYPERLINK("https://www.boe.es/gazeta/dias/1803/11/04/pdfs/GMD-1803-89.pdf#page=7","Abrir facsímil")</f>
        <v>Abrir facsímil</v>
      </c>
      <c r="K1327" s="15" t="s">
        <v>23</v>
      </c>
    </row>
    <row r="1328" spans="1:11" ht="42" customHeight="1">
      <c r="A1328" s="4" t="s">
        <v>3545</v>
      </c>
      <c r="B1328" s="5" t="s">
        <v>3546</v>
      </c>
      <c r="C1328" s="5" t="s">
        <v>26</v>
      </c>
      <c r="D1328" s="5" t="s">
        <v>27</v>
      </c>
      <c r="E1328" s="5" t="s">
        <v>1846</v>
      </c>
      <c r="F1328" s="9">
        <v>89</v>
      </c>
      <c r="G1328" s="9">
        <v>959</v>
      </c>
      <c r="H1328" s="5" t="s">
        <v>21</v>
      </c>
      <c r="I1328" s="5" t="s">
        <v>3547</v>
      </c>
      <c r="J1328" s="12" t="str">
        <f>HYPERLINK("https://www.boe.es/gazeta/dias/1803/11/04/pdfs/GMD-1803-89.pdf#page=7","Abrir facsímil")</f>
        <v>Abrir facsímil</v>
      </c>
      <c r="K1328" s="15" t="s">
        <v>23</v>
      </c>
    </row>
    <row r="1329" spans="1:11" ht="42" customHeight="1">
      <c r="A1329" s="4" t="s">
        <v>3548</v>
      </c>
      <c r="B1329" s="5" t="s">
        <v>3549</v>
      </c>
      <c r="C1329" s="5" t="s">
        <v>26</v>
      </c>
      <c r="D1329" s="5" t="s">
        <v>27</v>
      </c>
      <c r="E1329" s="5" t="s">
        <v>203</v>
      </c>
      <c r="F1329" s="9">
        <v>32</v>
      </c>
      <c r="G1329" s="9">
        <v>336</v>
      </c>
      <c r="H1329" s="5" t="s">
        <v>21</v>
      </c>
      <c r="I1329" s="5" t="s">
        <v>3550</v>
      </c>
      <c r="J1329" s="12" t="str">
        <f>HYPERLINK("https://www.boe.es/gazeta/dias/1803/04/22/pdfs/GMD-1803-32.pdf#page=8","Abrir facsímil")</f>
        <v>Abrir facsímil</v>
      </c>
      <c r="K1329" s="15" t="s">
        <v>23</v>
      </c>
    </row>
    <row r="1330" spans="1:11" ht="42" customHeight="1">
      <c r="A1330" s="4" t="s">
        <v>3551</v>
      </c>
      <c r="B1330" s="5" t="s">
        <v>3552</v>
      </c>
      <c r="C1330" s="5" t="s">
        <v>46</v>
      </c>
      <c r="D1330" s="5" t="s">
        <v>19</v>
      </c>
      <c r="E1330" s="5" t="s">
        <v>403</v>
      </c>
      <c r="F1330" s="9">
        <v>91</v>
      </c>
      <c r="G1330" s="9">
        <v>978</v>
      </c>
      <c r="H1330" s="5" t="s">
        <v>21</v>
      </c>
      <c r="I1330" s="5" t="s">
        <v>3553</v>
      </c>
      <c r="J1330" s="12" t="str">
        <f>HYPERLINK("https://www.boe.es/gazeta/dias/1803/11/11/pdfs/GMD-1803-91.pdf#page=10","Abrir facsímil")</f>
        <v>Abrir facsímil</v>
      </c>
      <c r="K1330" s="15" t="s">
        <v>23</v>
      </c>
    </row>
    <row r="1331" spans="1:11" ht="42" customHeight="1">
      <c r="A1331" s="4" t="s">
        <v>3554</v>
      </c>
      <c r="B1331" s="5" t="s">
        <v>3555</v>
      </c>
      <c r="C1331" s="5" t="s">
        <v>26</v>
      </c>
      <c r="D1331" s="5" t="s">
        <v>27</v>
      </c>
      <c r="E1331" s="5" t="s">
        <v>272</v>
      </c>
      <c r="F1331" s="9">
        <v>25</v>
      </c>
      <c r="G1331" s="9">
        <v>266</v>
      </c>
      <c r="H1331" s="5" t="s">
        <v>21</v>
      </c>
      <c r="I1331" s="5" t="s">
        <v>3556</v>
      </c>
      <c r="J1331" s="12" t="str">
        <f>HYPERLINK("https://www.boe.es/gazeta/dias/1803/03/29/pdfs/GMD-1803-25.pdf#page=6","Abrir facsímil")</f>
        <v>Abrir facsímil</v>
      </c>
      <c r="K1331" s="15" t="s">
        <v>23</v>
      </c>
    </row>
    <row r="1332" spans="1:11" ht="42" customHeight="1">
      <c r="A1332" s="4" t="s">
        <v>3557</v>
      </c>
      <c r="B1332" s="5" t="s">
        <v>3558</v>
      </c>
      <c r="C1332" s="5" t="s">
        <v>80</v>
      </c>
      <c r="D1332" s="5" t="s">
        <v>81</v>
      </c>
      <c r="E1332" s="5" t="s">
        <v>93</v>
      </c>
      <c r="F1332" s="9">
        <v>43</v>
      </c>
      <c r="G1332" s="9">
        <v>451</v>
      </c>
      <c r="H1332" s="5" t="s">
        <v>21</v>
      </c>
      <c r="I1332" s="5" t="s">
        <v>3559</v>
      </c>
      <c r="J1332" s="12" t="str">
        <f>HYPERLINK("https://www.boe.es/gazeta/dias/1803/05/31/pdfs/GMD-1803-43.pdf#page=11","Abrir facsímil")</f>
        <v>Abrir facsímil</v>
      </c>
      <c r="K1332" s="15" t="s">
        <v>23</v>
      </c>
    </row>
    <row r="1333" spans="1:11" ht="42" customHeight="1">
      <c r="A1333" s="4" t="s">
        <v>3560</v>
      </c>
      <c r="B1333" s="5" t="s">
        <v>3561</v>
      </c>
      <c r="C1333" s="5" t="s">
        <v>26</v>
      </c>
      <c r="D1333" s="5" t="s">
        <v>27</v>
      </c>
      <c r="E1333" s="5" t="s">
        <v>88</v>
      </c>
      <c r="F1333" s="9">
        <v>18</v>
      </c>
      <c r="G1333" s="9">
        <v>191</v>
      </c>
      <c r="H1333" s="5" t="s">
        <v>21</v>
      </c>
      <c r="I1333" s="5" t="s">
        <v>3562</v>
      </c>
      <c r="J1333" s="12" t="str">
        <f>HYPERLINK("https://www.boe.es/gazeta/dias/1803/03/04/pdfs/GMD-1803-18.pdf#page=11","Abrir facsímil")</f>
        <v>Abrir facsímil</v>
      </c>
      <c r="K1333" s="15" t="s">
        <v>23</v>
      </c>
    </row>
    <row r="1334" spans="1:11" ht="42" customHeight="1">
      <c r="A1334" s="4" t="s">
        <v>3563</v>
      </c>
      <c r="B1334" s="5" t="s">
        <v>3564</v>
      </c>
      <c r="C1334" s="5" t="s">
        <v>18</v>
      </c>
      <c r="D1334" s="5" t="s">
        <v>19</v>
      </c>
      <c r="E1334" s="5" t="s">
        <v>496</v>
      </c>
      <c r="F1334" s="9">
        <v>90</v>
      </c>
      <c r="G1334" s="9">
        <v>965</v>
      </c>
      <c r="H1334" s="5" t="s">
        <v>21</v>
      </c>
      <c r="I1334" s="5" t="s">
        <v>3565</v>
      </c>
      <c r="J1334" s="12" t="str">
        <f>HYPERLINK("https://www.boe.es/gazeta/dias/1803/11/08/pdfs/GMD-1803-90.pdf#page=5","Abrir facsímil")</f>
        <v>Abrir facsímil</v>
      </c>
      <c r="K1334" s="15" t="s">
        <v>23</v>
      </c>
    </row>
    <row r="1335" spans="1:11" ht="42" customHeight="1">
      <c r="A1335" s="4" t="s">
        <v>3566</v>
      </c>
      <c r="B1335" s="5" t="s">
        <v>3567</v>
      </c>
      <c r="C1335" s="5" t="s">
        <v>51</v>
      </c>
      <c r="D1335" s="5" t="s">
        <v>52</v>
      </c>
      <c r="E1335" s="5" t="s">
        <v>336</v>
      </c>
      <c r="F1335" s="9">
        <v>105</v>
      </c>
      <c r="G1335" s="9">
        <v>1123</v>
      </c>
      <c r="H1335" s="5" t="s">
        <v>21</v>
      </c>
      <c r="I1335" s="5" t="s">
        <v>3568</v>
      </c>
      <c r="J1335" s="12" t="str">
        <f>HYPERLINK("https://www.boe.es/gazeta/dias/1803/12/30/pdfs/GMD-1803-105.pdf#page=7","Abrir facsímil")</f>
        <v>Abrir facsímil</v>
      </c>
      <c r="K1335" s="15" t="s">
        <v>23</v>
      </c>
    </row>
    <row r="1336" spans="1:11" ht="42" customHeight="1">
      <c r="A1336" s="4" t="s">
        <v>3569</v>
      </c>
      <c r="B1336" s="5" t="s">
        <v>3570</v>
      </c>
      <c r="C1336" s="5" t="s">
        <v>26</v>
      </c>
      <c r="D1336" s="5" t="s">
        <v>27</v>
      </c>
      <c r="E1336" s="5" t="s">
        <v>328</v>
      </c>
      <c r="F1336" s="9">
        <v>54</v>
      </c>
      <c r="G1336" s="9">
        <v>590</v>
      </c>
      <c r="H1336" s="5" t="s">
        <v>21</v>
      </c>
      <c r="I1336" s="5" t="s">
        <v>3571</v>
      </c>
      <c r="J1336" s="12" t="str">
        <f>HYPERLINK("https://www.boe.es/gazeta/dias/1803/07/08/pdfs/GMD-1803-54.pdf#page=10","Abrir facsímil")</f>
        <v>Abrir facsímil</v>
      </c>
      <c r="K1336" s="15" t="s">
        <v>23</v>
      </c>
    </row>
    <row r="1337" spans="1:11" ht="42" customHeight="1">
      <c r="A1337" s="4" t="s">
        <v>3572</v>
      </c>
      <c r="B1337" s="5" t="s">
        <v>3573</v>
      </c>
      <c r="C1337" s="5" t="s">
        <v>26</v>
      </c>
      <c r="D1337" s="5" t="s">
        <v>27</v>
      </c>
      <c r="E1337" s="5" t="s">
        <v>523</v>
      </c>
      <c r="F1337" s="9">
        <v>101</v>
      </c>
      <c r="G1337" s="9">
        <v>1086</v>
      </c>
      <c r="H1337" s="5" t="s">
        <v>21</v>
      </c>
      <c r="I1337" s="5" t="s">
        <v>3574</v>
      </c>
      <c r="J1337" s="12" t="str">
        <f>HYPERLINK("https://www.boe.es/gazeta/dias/1803/12/16/pdfs/GMD-1803-101.pdf#page=10","Abrir facsímil")</f>
        <v>Abrir facsímil</v>
      </c>
      <c r="K1337" s="15" t="s">
        <v>23</v>
      </c>
    </row>
    <row r="1338" spans="1:11" ht="42" customHeight="1">
      <c r="A1338" s="4" t="s">
        <v>3575</v>
      </c>
      <c r="B1338" s="5" t="s">
        <v>3576</v>
      </c>
      <c r="C1338" s="5" t="s">
        <v>26</v>
      </c>
      <c r="D1338" s="5" t="s">
        <v>27</v>
      </c>
      <c r="E1338" s="5" t="s">
        <v>300</v>
      </c>
      <c r="F1338" s="9">
        <v>96</v>
      </c>
      <c r="G1338" s="9">
        <v>1034</v>
      </c>
      <c r="H1338" s="5" t="s">
        <v>21</v>
      </c>
      <c r="I1338" s="5" t="s">
        <v>3577</v>
      </c>
      <c r="J1338" s="12" t="str">
        <f>HYPERLINK("https://www.boe.es/gazeta/dias/1803/11/29/pdfs/GMD-1803-96.pdf#page=10","Abrir facsímil")</f>
        <v>Abrir facsímil</v>
      </c>
      <c r="K1338" s="15" t="s">
        <v>23</v>
      </c>
    </row>
    <row r="1339" spans="1:11" ht="42" customHeight="1">
      <c r="A1339" s="4" t="s">
        <v>3578</v>
      </c>
      <c r="B1339" s="5" t="s">
        <v>3579</v>
      </c>
      <c r="C1339" s="5" t="s">
        <v>18</v>
      </c>
      <c r="D1339" s="5" t="s">
        <v>19</v>
      </c>
      <c r="E1339" s="5" t="s">
        <v>113</v>
      </c>
      <c r="F1339" s="9">
        <v>93</v>
      </c>
      <c r="G1339" s="9">
        <v>995</v>
      </c>
      <c r="H1339" s="5" t="s">
        <v>21</v>
      </c>
      <c r="I1339" s="5" t="s">
        <v>3580</v>
      </c>
      <c r="J1339" s="12" t="str">
        <f>HYPERLINK("https://www.boe.es/gazeta/dias/1803/11/18/pdfs/GMD-1803-93.pdf#page=7","Abrir facsímil")</f>
        <v>Abrir facsímil</v>
      </c>
      <c r="K1339" s="15" t="s">
        <v>23</v>
      </c>
    </row>
    <row r="1340" spans="1:11" ht="42" customHeight="1">
      <c r="A1340" s="4" t="s">
        <v>3581</v>
      </c>
      <c r="B1340" s="5" t="s">
        <v>3582</v>
      </c>
      <c r="C1340" s="5" t="s">
        <v>40</v>
      </c>
      <c r="D1340" s="5" t="s">
        <v>41</v>
      </c>
      <c r="E1340" s="5" t="s">
        <v>250</v>
      </c>
      <c r="F1340" s="9">
        <v>4</v>
      </c>
      <c r="G1340" s="9">
        <v>34</v>
      </c>
      <c r="H1340" s="5" t="s">
        <v>21</v>
      </c>
      <c r="I1340" s="5" t="s">
        <v>3583</v>
      </c>
      <c r="J1340" s="12" t="str">
        <f>HYPERLINK("https://www.boe.es/gazeta/dias/1803/01/14/pdfs/GMD-1803-4.pdf#page=6","Abrir facsímil")</f>
        <v>Abrir facsímil</v>
      </c>
      <c r="K1340" s="15" t="s">
        <v>23</v>
      </c>
    </row>
    <row r="1341" spans="1:11" ht="42" customHeight="1">
      <c r="A1341" s="4" t="s">
        <v>3584</v>
      </c>
      <c r="B1341" s="5" t="s">
        <v>3585</v>
      </c>
      <c r="C1341" s="5" t="s">
        <v>26</v>
      </c>
      <c r="D1341" s="5" t="s">
        <v>27</v>
      </c>
      <c r="E1341" s="5" t="s">
        <v>309</v>
      </c>
      <c r="F1341" s="9">
        <v>37</v>
      </c>
      <c r="G1341" s="9">
        <v>384</v>
      </c>
      <c r="H1341" s="5" t="s">
        <v>21</v>
      </c>
      <c r="I1341" s="5" t="s">
        <v>3586</v>
      </c>
      <c r="J1341" s="12" t="str">
        <f>HYPERLINK("https://www.boe.es/gazeta/dias/1803/05/10/pdfs/GMD-1803-37.pdf#page=8","Abrir facsímil")</f>
        <v>Abrir facsímil</v>
      </c>
      <c r="K1341" s="15" t="s">
        <v>23</v>
      </c>
    </row>
    <row r="1342" spans="1:11" ht="42" customHeight="1">
      <c r="A1342" s="4" t="s">
        <v>3587</v>
      </c>
      <c r="B1342" s="5" t="s">
        <v>3588</v>
      </c>
      <c r="C1342" s="5" t="s">
        <v>26</v>
      </c>
      <c r="D1342" s="5" t="s">
        <v>27</v>
      </c>
      <c r="E1342" s="5" t="s">
        <v>207</v>
      </c>
      <c r="F1342" s="9">
        <v>27</v>
      </c>
      <c r="G1342" s="9">
        <v>293</v>
      </c>
      <c r="H1342" s="5" t="s">
        <v>21</v>
      </c>
      <c r="I1342" s="5" t="s">
        <v>3589</v>
      </c>
      <c r="J1342" s="12" t="str">
        <f>HYPERLINK("https://www.boe.es/gazeta/dias/1803/04/05/pdfs/GMD-1803-27.pdf#page=9","Abrir facsímil")</f>
        <v>Abrir facsímil</v>
      </c>
      <c r="K1342" s="15" t="s">
        <v>23</v>
      </c>
    </row>
    <row r="1343" spans="1:11" ht="42" customHeight="1">
      <c r="A1343" s="4" t="s">
        <v>3590</v>
      </c>
      <c r="B1343" s="5" t="s">
        <v>3591</v>
      </c>
      <c r="C1343" s="5" t="s">
        <v>18</v>
      </c>
      <c r="D1343" s="5" t="s">
        <v>19</v>
      </c>
      <c r="E1343" s="5" t="s">
        <v>272</v>
      </c>
      <c r="F1343" s="9">
        <v>25</v>
      </c>
      <c r="G1343" s="9">
        <v>266</v>
      </c>
      <c r="H1343" s="5" t="s">
        <v>21</v>
      </c>
      <c r="I1343" s="5" t="s">
        <v>3592</v>
      </c>
      <c r="J1343" s="12" t="str">
        <f>HYPERLINK("https://www.boe.es/gazeta/dias/1803/03/29/pdfs/GMD-1803-25.pdf#page=6","Abrir facsímil")</f>
        <v>Abrir facsímil</v>
      </c>
      <c r="K1343" s="15" t="s">
        <v>23</v>
      </c>
    </row>
    <row r="1344" spans="1:11" ht="42" customHeight="1">
      <c r="A1344" s="4" t="s">
        <v>3593</v>
      </c>
      <c r="B1344" s="5" t="s">
        <v>3594</v>
      </c>
      <c r="C1344" s="5" t="s">
        <v>40</v>
      </c>
      <c r="D1344" s="5" t="s">
        <v>41</v>
      </c>
      <c r="E1344" s="5" t="s">
        <v>493</v>
      </c>
      <c r="F1344" s="9">
        <v>104</v>
      </c>
      <c r="G1344" s="9">
        <v>1112</v>
      </c>
      <c r="H1344" s="5" t="s">
        <v>21</v>
      </c>
      <c r="I1344" s="5" t="s">
        <v>3595</v>
      </c>
      <c r="J1344" s="12" t="str">
        <f>HYPERLINK("https://www.boe.es/gazeta/dias/1803/12/27/pdfs/GMD-1803-104.pdf#page=4","Abrir facsímil")</f>
        <v>Abrir facsímil</v>
      </c>
      <c r="K1344" s="15" t="s">
        <v>23</v>
      </c>
    </row>
    <row r="1345" spans="1:11" ht="42" customHeight="1">
      <c r="A1345" s="4" t="s">
        <v>3596</v>
      </c>
      <c r="B1345" s="5" t="s">
        <v>3597</v>
      </c>
      <c r="C1345" s="5" t="s">
        <v>18</v>
      </c>
      <c r="D1345" s="5" t="s">
        <v>19</v>
      </c>
      <c r="E1345" s="5" t="s">
        <v>514</v>
      </c>
      <c r="F1345" s="9">
        <v>42</v>
      </c>
      <c r="G1345" s="9">
        <v>438</v>
      </c>
      <c r="H1345" s="5" t="s">
        <v>21</v>
      </c>
      <c r="I1345" s="5" t="s">
        <v>3598</v>
      </c>
      <c r="J1345" s="12" t="str">
        <f>HYPERLINK("https://www.boe.es/gazeta/dias/1803/05/27/pdfs/GMD-1803-42.pdf#page=6","Abrir facsímil")</f>
        <v>Abrir facsímil</v>
      </c>
      <c r="K1345" s="15" t="s">
        <v>23</v>
      </c>
    </row>
    <row r="1346" spans="1:11" ht="42" customHeight="1">
      <c r="A1346" s="4" t="s">
        <v>3599</v>
      </c>
      <c r="B1346" s="5" t="s">
        <v>3600</v>
      </c>
      <c r="C1346" s="5" t="s">
        <v>26</v>
      </c>
      <c r="D1346" s="5" t="s">
        <v>27</v>
      </c>
      <c r="E1346" s="5" t="s">
        <v>152</v>
      </c>
      <c r="F1346" s="9">
        <v>16</v>
      </c>
      <c r="G1346" s="9">
        <v>168</v>
      </c>
      <c r="H1346" s="5" t="s">
        <v>21</v>
      </c>
      <c r="I1346" s="5" t="s">
        <v>3601</v>
      </c>
      <c r="J1346" s="12" t="str">
        <f>HYPERLINK("https://www.boe.es/gazeta/dias/1803/02/25/pdfs/GMD-1803-16.pdf#page=8","Abrir facsímil")</f>
        <v>Abrir facsímil</v>
      </c>
      <c r="K1346" s="15" t="s">
        <v>23</v>
      </c>
    </row>
    <row r="1347" spans="1:11" ht="42" customHeight="1">
      <c r="A1347" s="4" t="s">
        <v>3602</v>
      </c>
      <c r="B1347" s="5" t="s">
        <v>3603</v>
      </c>
      <c r="C1347" s="5" t="s">
        <v>46</v>
      </c>
      <c r="D1347" s="5" t="s">
        <v>19</v>
      </c>
      <c r="E1347" s="5" t="s">
        <v>99</v>
      </c>
      <c r="F1347" s="9">
        <v>29</v>
      </c>
      <c r="G1347" s="9">
        <v>311</v>
      </c>
      <c r="H1347" s="5" t="s">
        <v>21</v>
      </c>
      <c r="I1347" s="5" t="s">
        <v>3604</v>
      </c>
      <c r="J1347" s="12" t="str">
        <f>HYPERLINK("https://www.boe.es/gazeta/dias/1803/04/12/pdfs/GMD-1803-29.pdf#page=7","Abrir facsímil")</f>
        <v>Abrir facsímil</v>
      </c>
      <c r="K1347" s="15" t="s">
        <v>23</v>
      </c>
    </row>
    <row r="1348" spans="1:11" ht="42" customHeight="1">
      <c r="A1348" s="4" t="s">
        <v>3602</v>
      </c>
      <c r="B1348" s="5" t="s">
        <v>3603</v>
      </c>
      <c r="C1348" s="5" t="s">
        <v>46</v>
      </c>
      <c r="D1348" s="5" t="s">
        <v>19</v>
      </c>
      <c r="E1348" s="5" t="s">
        <v>203</v>
      </c>
      <c r="F1348" s="9">
        <v>32</v>
      </c>
      <c r="G1348" s="9">
        <v>339</v>
      </c>
      <c r="H1348" s="5" t="s">
        <v>21</v>
      </c>
      <c r="I1348" s="5" t="s">
        <v>3605</v>
      </c>
      <c r="J1348" s="12" t="str">
        <f>HYPERLINK("https://www.boe.es/gazeta/dias/1803/04/22/pdfs/GMD-1803-32.pdf#page=11","Abrir facsímil")</f>
        <v>Abrir facsímil</v>
      </c>
      <c r="K1348" s="15" t="s">
        <v>23</v>
      </c>
    </row>
    <row r="1349" spans="1:11" ht="42" customHeight="1">
      <c r="A1349" s="4" t="s">
        <v>3606</v>
      </c>
      <c r="B1349" s="5" t="s">
        <v>3607</v>
      </c>
      <c r="C1349" s="5" t="s">
        <v>46</v>
      </c>
      <c r="D1349" s="5" t="s">
        <v>19</v>
      </c>
      <c r="E1349" s="5" t="s">
        <v>395</v>
      </c>
      <c r="F1349" s="9">
        <v>13</v>
      </c>
      <c r="G1349" s="9">
        <v>136</v>
      </c>
      <c r="H1349" s="5" t="s">
        <v>21</v>
      </c>
      <c r="I1349" s="5" t="s">
        <v>3608</v>
      </c>
      <c r="J1349" s="12" t="str">
        <f>HYPERLINK("https://www.boe.es/gazeta/dias/1803/02/15/pdfs/GMD-1803-13.pdf#page=12","Abrir facsímil")</f>
        <v>Abrir facsímil</v>
      </c>
      <c r="K1349" s="15" t="s">
        <v>23</v>
      </c>
    </row>
    <row r="1350" spans="1:11" ht="42" customHeight="1">
      <c r="A1350" s="4" t="s">
        <v>3609</v>
      </c>
      <c r="B1350" s="5" t="s">
        <v>3610</v>
      </c>
      <c r="C1350" s="5" t="s">
        <v>18</v>
      </c>
      <c r="D1350" s="5" t="s">
        <v>19</v>
      </c>
      <c r="E1350" s="5" t="s">
        <v>523</v>
      </c>
      <c r="F1350" s="9">
        <v>101</v>
      </c>
      <c r="G1350" s="9">
        <v>1086</v>
      </c>
      <c r="H1350" s="5" t="s">
        <v>21</v>
      </c>
      <c r="I1350" s="5" t="s">
        <v>3611</v>
      </c>
      <c r="J1350" s="12" t="str">
        <f>HYPERLINK("https://www.boe.es/gazeta/dias/1803/12/16/pdfs/GMD-1803-101.pdf#page=10","Abrir facsímil")</f>
        <v>Abrir facsímil</v>
      </c>
      <c r="K1350" s="15" t="s">
        <v>23</v>
      </c>
    </row>
    <row r="1351" spans="1:11" ht="42" customHeight="1">
      <c r="A1351" s="4" t="s">
        <v>3612</v>
      </c>
      <c r="B1351" s="5" t="s">
        <v>3613</v>
      </c>
      <c r="C1351" s="5" t="s">
        <v>26</v>
      </c>
      <c r="D1351" s="5" t="s">
        <v>27</v>
      </c>
      <c r="E1351" s="5" t="s">
        <v>88</v>
      </c>
      <c r="F1351" s="9">
        <v>18</v>
      </c>
      <c r="G1351" s="9">
        <v>187</v>
      </c>
      <c r="H1351" s="5" t="s">
        <v>21</v>
      </c>
      <c r="I1351" s="5" t="s">
        <v>3614</v>
      </c>
      <c r="J1351" s="12" t="str">
        <f>HYPERLINK("https://www.boe.es/gazeta/dias/1803/03/04/pdfs/GMD-1803-18.pdf#page=7","Abrir facsímil")</f>
        <v>Abrir facsímil</v>
      </c>
      <c r="K1351" s="15" t="s">
        <v>23</v>
      </c>
    </row>
    <row r="1352" spans="1:11" ht="42" customHeight="1">
      <c r="A1352" s="4" t="s">
        <v>3615</v>
      </c>
      <c r="B1352" s="5" t="s">
        <v>3616</v>
      </c>
      <c r="C1352" s="5" t="s">
        <v>26</v>
      </c>
      <c r="D1352" s="5" t="s">
        <v>27</v>
      </c>
      <c r="E1352" s="5" t="s">
        <v>403</v>
      </c>
      <c r="F1352" s="9">
        <v>91</v>
      </c>
      <c r="G1352" s="9">
        <v>977</v>
      </c>
      <c r="H1352" s="5" t="s">
        <v>21</v>
      </c>
      <c r="I1352" s="5" t="s">
        <v>3617</v>
      </c>
      <c r="J1352" s="12" t="str">
        <f>HYPERLINK("https://www.boe.es/gazeta/dias/1803/11/11/pdfs/GMD-1803-91.pdf#page=9","Abrir facsímil")</f>
        <v>Abrir facsímil</v>
      </c>
      <c r="K1352" s="15" t="s">
        <v>23</v>
      </c>
    </row>
    <row r="1353" spans="1:11" ht="42" customHeight="1">
      <c r="A1353" s="4" t="s">
        <v>3618</v>
      </c>
      <c r="B1353" s="5" t="s">
        <v>3619</v>
      </c>
      <c r="C1353" s="5" t="s">
        <v>18</v>
      </c>
      <c r="D1353" s="5" t="s">
        <v>19</v>
      </c>
      <c r="E1353" s="5" t="s">
        <v>395</v>
      </c>
      <c r="F1353" s="9">
        <v>13</v>
      </c>
      <c r="G1353" s="9">
        <v>134</v>
      </c>
      <c r="H1353" s="5" t="s">
        <v>21</v>
      </c>
      <c r="I1353" s="5" t="s">
        <v>3620</v>
      </c>
      <c r="J1353" s="12" t="str">
        <f>HYPERLINK("https://www.boe.es/gazeta/dias/1803/02/15/pdfs/GMD-1803-13.pdf#page=10","Abrir facsímil")</f>
        <v>Abrir facsímil</v>
      </c>
      <c r="K1353" s="15" t="s">
        <v>23</v>
      </c>
    </row>
    <row r="1354" spans="1:11" ht="42" customHeight="1">
      <c r="A1354" s="4" t="s">
        <v>3621</v>
      </c>
      <c r="B1354" s="5" t="s">
        <v>3622</v>
      </c>
      <c r="C1354" s="5" t="s">
        <v>26</v>
      </c>
      <c r="D1354" s="5" t="s">
        <v>27</v>
      </c>
      <c r="E1354" s="5" t="s">
        <v>138</v>
      </c>
      <c r="F1354" s="9">
        <v>68</v>
      </c>
      <c r="G1354" s="9">
        <v>741</v>
      </c>
      <c r="H1354" s="5" t="s">
        <v>21</v>
      </c>
      <c r="I1354" s="5" t="s">
        <v>3623</v>
      </c>
      <c r="J1354" s="12" t="str">
        <f>HYPERLINK("https://www.boe.es/gazeta/dias/1803/08/26/pdfs/GMD-1803-68.pdf#page=9","Abrir facsímil")</f>
        <v>Abrir facsímil</v>
      </c>
      <c r="K1354" s="15" t="s">
        <v>23</v>
      </c>
    </row>
    <row r="1355" spans="1:11" ht="42" customHeight="1">
      <c r="A1355" s="4" t="s">
        <v>3624</v>
      </c>
      <c r="B1355" s="5" t="s">
        <v>3625</v>
      </c>
      <c r="C1355" s="5" t="s">
        <v>26</v>
      </c>
      <c r="D1355" s="5" t="s">
        <v>27</v>
      </c>
      <c r="E1355" s="5" t="s">
        <v>258</v>
      </c>
      <c r="F1355" s="9">
        <v>7</v>
      </c>
      <c r="G1355" s="9">
        <v>72</v>
      </c>
      <c r="H1355" s="5" t="s">
        <v>21</v>
      </c>
      <c r="I1355" s="5" t="s">
        <v>3626</v>
      </c>
      <c r="J1355" s="12" t="str">
        <f>HYPERLINK("https://www.boe.es/gazeta/dias/1803/01/25/pdfs/GMD-1803-7.pdf#page=12","Abrir facsímil")</f>
        <v>Abrir facsímil</v>
      </c>
      <c r="K1355" s="15" t="s">
        <v>23</v>
      </c>
    </row>
    <row r="1356" spans="1:11" ht="42" customHeight="1">
      <c r="A1356" s="4" t="s">
        <v>3624</v>
      </c>
      <c r="B1356" s="5" t="s">
        <v>3625</v>
      </c>
      <c r="C1356" s="5" t="s">
        <v>26</v>
      </c>
      <c r="D1356" s="5" t="s">
        <v>27</v>
      </c>
      <c r="E1356" s="5" t="s">
        <v>88</v>
      </c>
      <c r="F1356" s="9">
        <v>18</v>
      </c>
      <c r="G1356" s="9">
        <v>191</v>
      </c>
      <c r="H1356" s="5" t="s">
        <v>21</v>
      </c>
      <c r="I1356" s="5" t="s">
        <v>3627</v>
      </c>
      <c r="J1356" s="12" t="str">
        <f>HYPERLINK("https://www.boe.es/gazeta/dias/1803/03/04/pdfs/GMD-1803-18.pdf#page=11","Abrir facsímil")</f>
        <v>Abrir facsímil</v>
      </c>
      <c r="K1356" s="15" t="s">
        <v>23</v>
      </c>
    </row>
    <row r="1357" spans="1:11" ht="42" customHeight="1">
      <c r="A1357" s="4" t="s">
        <v>3624</v>
      </c>
      <c r="B1357" s="5" t="s">
        <v>3625</v>
      </c>
      <c r="C1357" s="5" t="s">
        <v>26</v>
      </c>
      <c r="D1357" s="5" t="s">
        <v>27</v>
      </c>
      <c r="E1357" s="5" t="s">
        <v>218</v>
      </c>
      <c r="F1357" s="9">
        <v>19</v>
      </c>
      <c r="G1357" s="9">
        <v>203</v>
      </c>
      <c r="H1357" s="5" t="s">
        <v>21</v>
      </c>
      <c r="I1357" s="5" t="s">
        <v>3628</v>
      </c>
      <c r="J1357" s="12" t="str">
        <f>HYPERLINK("https://www.boe.es/gazeta/dias/1803/03/08/pdfs/GMD-1803-19.pdf#page=11","Abrir facsímil")</f>
        <v>Abrir facsímil</v>
      </c>
      <c r="K1357" s="15" t="s">
        <v>23</v>
      </c>
    </row>
    <row r="1358" spans="1:11" ht="42" customHeight="1">
      <c r="A1358" s="4" t="s">
        <v>3624</v>
      </c>
      <c r="B1358" s="5" t="s">
        <v>3625</v>
      </c>
      <c r="C1358" s="5" t="s">
        <v>26</v>
      </c>
      <c r="D1358" s="5" t="s">
        <v>27</v>
      </c>
      <c r="E1358" s="5" t="s">
        <v>272</v>
      </c>
      <c r="F1358" s="9">
        <v>25</v>
      </c>
      <c r="G1358" s="9">
        <v>267</v>
      </c>
      <c r="H1358" s="5" t="s">
        <v>21</v>
      </c>
      <c r="I1358" s="5" t="s">
        <v>3629</v>
      </c>
      <c r="J1358" s="12" t="str">
        <f>HYPERLINK("https://www.boe.es/gazeta/dias/1803/03/29/pdfs/GMD-1803-25.pdf#page=7","Abrir facsímil")</f>
        <v>Abrir facsímil</v>
      </c>
      <c r="K1358" s="15" t="s">
        <v>23</v>
      </c>
    </row>
    <row r="1359" spans="1:11" ht="42" customHeight="1">
      <c r="A1359" s="4" t="s">
        <v>3624</v>
      </c>
      <c r="B1359" s="5" t="s">
        <v>3625</v>
      </c>
      <c r="C1359" s="5" t="s">
        <v>26</v>
      </c>
      <c r="D1359" s="5" t="s">
        <v>27</v>
      </c>
      <c r="E1359" s="5" t="s">
        <v>207</v>
      </c>
      <c r="F1359" s="9">
        <v>27</v>
      </c>
      <c r="G1359" s="9">
        <v>294</v>
      </c>
      <c r="H1359" s="5" t="s">
        <v>21</v>
      </c>
      <c r="I1359" s="5" t="s">
        <v>3630</v>
      </c>
      <c r="J1359" s="12" t="str">
        <f>HYPERLINK("https://www.boe.es/gazeta/dias/1803/04/05/pdfs/GMD-1803-27.pdf#page=10","Abrir facsímil")</f>
        <v>Abrir facsímil</v>
      </c>
      <c r="K1359" s="15" t="s">
        <v>23</v>
      </c>
    </row>
    <row r="1360" spans="1:11" ht="42" customHeight="1">
      <c r="A1360" s="4" t="s">
        <v>3624</v>
      </c>
      <c r="B1360" s="5" t="s">
        <v>3625</v>
      </c>
      <c r="C1360" s="5" t="s">
        <v>51</v>
      </c>
      <c r="D1360" s="5" t="s">
        <v>52</v>
      </c>
      <c r="E1360" s="5" t="s">
        <v>102</v>
      </c>
      <c r="F1360" s="9">
        <v>31</v>
      </c>
      <c r="G1360" s="9">
        <v>327</v>
      </c>
      <c r="H1360" s="5" t="s">
        <v>21</v>
      </c>
      <c r="I1360" s="5" t="s">
        <v>3631</v>
      </c>
      <c r="J1360" s="12" t="str">
        <f>HYPERLINK("https://www.boe.es/gazeta/dias/1803/04/19/pdfs/GMD-1803-31.pdf#page=7","Abrir facsímil")</f>
        <v>Abrir facsímil</v>
      </c>
      <c r="K1360" s="15" t="s">
        <v>23</v>
      </c>
    </row>
    <row r="1361" spans="1:11" ht="42" customHeight="1">
      <c r="A1361" s="4" t="s">
        <v>3624</v>
      </c>
      <c r="B1361" s="5" t="s">
        <v>3625</v>
      </c>
      <c r="C1361" s="5" t="s">
        <v>26</v>
      </c>
      <c r="D1361" s="5" t="s">
        <v>27</v>
      </c>
      <c r="E1361" s="5" t="s">
        <v>203</v>
      </c>
      <c r="F1361" s="9">
        <v>32</v>
      </c>
      <c r="G1361" s="9">
        <v>339</v>
      </c>
      <c r="H1361" s="5" t="s">
        <v>21</v>
      </c>
      <c r="I1361" s="5" t="s">
        <v>3632</v>
      </c>
      <c r="J1361" s="12" t="str">
        <f>HYPERLINK("https://www.boe.es/gazeta/dias/1803/04/22/pdfs/GMD-1803-32.pdf#page=11","Abrir facsímil")</f>
        <v>Abrir facsímil</v>
      </c>
      <c r="K1361" s="15" t="s">
        <v>23</v>
      </c>
    </row>
    <row r="1362" spans="1:11" ht="42" customHeight="1">
      <c r="A1362" s="4" t="s">
        <v>3624</v>
      </c>
      <c r="B1362" s="5" t="s">
        <v>3625</v>
      </c>
      <c r="C1362" s="5" t="s">
        <v>26</v>
      </c>
      <c r="D1362" s="5" t="s">
        <v>27</v>
      </c>
      <c r="E1362" s="5" t="s">
        <v>967</v>
      </c>
      <c r="F1362" s="9">
        <v>35</v>
      </c>
      <c r="G1362" s="9">
        <v>367</v>
      </c>
      <c r="H1362" s="5" t="s">
        <v>21</v>
      </c>
      <c r="I1362" s="5" t="s">
        <v>3633</v>
      </c>
      <c r="J1362" s="12" t="str">
        <f>HYPERLINK("https://www.boe.es/gazeta/dias/1803/05/03/pdfs/GMD-1803-35.pdf#page=7","Abrir facsímil")</f>
        <v>Abrir facsímil</v>
      </c>
      <c r="K1362" s="15" t="s">
        <v>23</v>
      </c>
    </row>
    <row r="1363" spans="1:11" ht="42" customHeight="1">
      <c r="A1363" s="4" t="s">
        <v>3624</v>
      </c>
      <c r="B1363" s="5" t="s">
        <v>3625</v>
      </c>
      <c r="C1363" s="5" t="s">
        <v>26</v>
      </c>
      <c r="D1363" s="5" t="s">
        <v>27</v>
      </c>
      <c r="E1363" s="5" t="s">
        <v>71</v>
      </c>
      <c r="F1363" s="9">
        <v>39</v>
      </c>
      <c r="G1363" s="9">
        <v>415</v>
      </c>
      <c r="H1363" s="5" t="s">
        <v>21</v>
      </c>
      <c r="I1363" s="5" t="s">
        <v>3634</v>
      </c>
      <c r="J1363" s="12" t="str">
        <f>HYPERLINK("https://www.boe.es/gazeta/dias/1803/05/17/pdfs/GMD-1803-39.pdf#page=11","Abrir facsímil")</f>
        <v>Abrir facsímil</v>
      </c>
      <c r="K1363" s="15" t="s">
        <v>23</v>
      </c>
    </row>
    <row r="1364" spans="1:11" ht="42" customHeight="1">
      <c r="A1364" s="4" t="s">
        <v>3624</v>
      </c>
      <c r="B1364" s="5" t="s">
        <v>3625</v>
      </c>
      <c r="C1364" s="5" t="s">
        <v>26</v>
      </c>
      <c r="D1364" s="5" t="s">
        <v>27</v>
      </c>
      <c r="E1364" s="5" t="s">
        <v>514</v>
      </c>
      <c r="F1364" s="9">
        <v>42</v>
      </c>
      <c r="G1364" s="9">
        <v>440</v>
      </c>
      <c r="H1364" s="5" t="s">
        <v>21</v>
      </c>
      <c r="I1364" s="5" t="s">
        <v>3635</v>
      </c>
      <c r="J1364" s="12" t="str">
        <f>HYPERLINK("https://www.boe.es/gazeta/dias/1803/05/27/pdfs/GMD-1803-42.pdf#page=8","Abrir facsímil")</f>
        <v>Abrir facsímil</v>
      </c>
      <c r="K1364" s="15" t="s">
        <v>23</v>
      </c>
    </row>
    <row r="1365" spans="1:11" ht="42" customHeight="1">
      <c r="A1365" s="4" t="s">
        <v>3624</v>
      </c>
      <c r="B1365" s="5" t="s">
        <v>3625</v>
      </c>
      <c r="C1365" s="5" t="s">
        <v>26</v>
      </c>
      <c r="D1365" s="5" t="s">
        <v>27</v>
      </c>
      <c r="E1365" s="5" t="s">
        <v>606</v>
      </c>
      <c r="F1365" s="9">
        <v>47</v>
      </c>
      <c r="G1365" s="9">
        <v>499</v>
      </c>
      <c r="H1365" s="5" t="s">
        <v>21</v>
      </c>
      <c r="I1365" s="5" t="s">
        <v>3636</v>
      </c>
      <c r="J1365" s="12" t="str">
        <f>HYPERLINK("https://www.boe.es/gazeta/dias/1803/06/14/pdfs/GMD-1803-47.pdf#page=11","Abrir facsímil")</f>
        <v>Abrir facsímil</v>
      </c>
      <c r="K1365" s="15" t="s">
        <v>23</v>
      </c>
    </row>
    <row r="1366" spans="1:11" ht="42" customHeight="1">
      <c r="A1366" s="4" t="s">
        <v>3624</v>
      </c>
      <c r="B1366" s="5" t="s">
        <v>3625</v>
      </c>
      <c r="C1366" s="5" t="s">
        <v>26</v>
      </c>
      <c r="D1366" s="5" t="s">
        <v>27</v>
      </c>
      <c r="E1366" s="5" t="s">
        <v>619</v>
      </c>
      <c r="F1366" s="9">
        <v>53</v>
      </c>
      <c r="G1366" s="9">
        <v>580</v>
      </c>
      <c r="H1366" s="5" t="s">
        <v>21</v>
      </c>
      <c r="I1366" s="5" t="s">
        <v>3637</v>
      </c>
      <c r="J1366" s="12" t="str">
        <f>HYPERLINK("https://www.boe.es/gazeta/dias/1803/07/05/pdfs/GMD-1803-53.pdf#page=12","Abrir facsímil")</f>
        <v>Abrir facsímil</v>
      </c>
      <c r="K1366" s="15" t="s">
        <v>23</v>
      </c>
    </row>
    <row r="1367" spans="1:11" ht="42" customHeight="1">
      <c r="A1367" s="4" t="s">
        <v>3624</v>
      </c>
      <c r="B1367" s="5" t="s">
        <v>3625</v>
      </c>
      <c r="C1367" s="5" t="s">
        <v>26</v>
      </c>
      <c r="D1367" s="5" t="s">
        <v>27</v>
      </c>
      <c r="E1367" s="5" t="s">
        <v>328</v>
      </c>
      <c r="F1367" s="9">
        <v>54</v>
      </c>
      <c r="G1367" s="9">
        <v>591</v>
      </c>
      <c r="H1367" s="5" t="s">
        <v>21</v>
      </c>
      <c r="I1367" s="5" t="s">
        <v>3638</v>
      </c>
      <c r="J1367" s="12" t="str">
        <f>HYPERLINK("https://www.boe.es/gazeta/dias/1803/07/08/pdfs/GMD-1803-54.pdf#page=11","Abrir facsímil")</f>
        <v>Abrir facsímil</v>
      </c>
      <c r="K1367" s="15" t="s">
        <v>23</v>
      </c>
    </row>
    <row r="1368" spans="1:11" ht="42" customHeight="1">
      <c r="A1368" s="4" t="s">
        <v>3624</v>
      </c>
      <c r="B1368" s="5" t="s">
        <v>3625</v>
      </c>
      <c r="C1368" s="5" t="s">
        <v>26</v>
      </c>
      <c r="D1368" s="5" t="s">
        <v>27</v>
      </c>
      <c r="E1368" s="5" t="s">
        <v>340</v>
      </c>
      <c r="F1368" s="9">
        <v>55</v>
      </c>
      <c r="G1368" s="9">
        <v>603</v>
      </c>
      <c r="H1368" s="5" t="s">
        <v>21</v>
      </c>
      <c r="I1368" s="5" t="s">
        <v>3639</v>
      </c>
      <c r="J1368" s="12" t="str">
        <f>HYPERLINK("https://www.boe.es/gazeta/dias/1803/07/12/pdfs/GMD-1803-55.pdf#page=11","Abrir facsímil")</f>
        <v>Abrir facsímil</v>
      </c>
      <c r="K1368" s="15" t="s">
        <v>23</v>
      </c>
    </row>
    <row r="1369" spans="1:11" ht="42" customHeight="1">
      <c r="A1369" s="4" t="s">
        <v>3624</v>
      </c>
      <c r="B1369" s="5" t="s">
        <v>3625</v>
      </c>
      <c r="C1369" s="5" t="s">
        <v>26</v>
      </c>
      <c r="D1369" s="5" t="s">
        <v>27</v>
      </c>
      <c r="E1369" s="5" t="s">
        <v>361</v>
      </c>
      <c r="F1369" s="9">
        <v>62</v>
      </c>
      <c r="G1369" s="9">
        <v>678</v>
      </c>
      <c r="H1369" s="5" t="s">
        <v>21</v>
      </c>
      <c r="I1369" s="5" t="s">
        <v>3640</v>
      </c>
      <c r="J1369" s="12" t="str">
        <f>HYPERLINK("https://www.boe.es/gazeta/dias/1803/08/05/pdfs/GMD-1803-62.pdf#page=10","Abrir facsímil")</f>
        <v>Abrir facsímil</v>
      </c>
      <c r="K1369" s="15" t="s">
        <v>23</v>
      </c>
    </row>
    <row r="1370" spans="1:11" ht="42" customHeight="1">
      <c r="A1370" s="4" t="s">
        <v>3624</v>
      </c>
      <c r="B1370" s="5" t="s">
        <v>3625</v>
      </c>
      <c r="C1370" s="5" t="s">
        <v>46</v>
      </c>
      <c r="D1370" s="5" t="s">
        <v>19</v>
      </c>
      <c r="E1370" s="5" t="s">
        <v>373</v>
      </c>
      <c r="F1370" s="9">
        <v>77</v>
      </c>
      <c r="G1370" s="9">
        <v>835</v>
      </c>
      <c r="H1370" s="5" t="s">
        <v>21</v>
      </c>
      <c r="I1370" s="5" t="s">
        <v>3641</v>
      </c>
      <c r="J1370" s="12" t="str">
        <f>HYPERLINK("https://www.boe.es/gazeta/dias/1803/09/23/pdfs/GMD-1803-77.pdf#page=11","Abrir facsímil")</f>
        <v>Abrir facsímil</v>
      </c>
      <c r="K1370" s="15" t="s">
        <v>23</v>
      </c>
    </row>
    <row r="1371" spans="1:11" ht="42" customHeight="1">
      <c r="A1371" s="4" t="s">
        <v>3624</v>
      </c>
      <c r="B1371" s="5" t="s">
        <v>3625</v>
      </c>
      <c r="C1371" s="5" t="s">
        <v>26</v>
      </c>
      <c r="D1371" s="5" t="s">
        <v>27</v>
      </c>
      <c r="E1371" s="5" t="s">
        <v>36</v>
      </c>
      <c r="F1371" s="9">
        <v>79</v>
      </c>
      <c r="G1371" s="9">
        <v>856</v>
      </c>
      <c r="H1371" s="5" t="s">
        <v>21</v>
      </c>
      <c r="I1371" s="5" t="s">
        <v>3642</v>
      </c>
      <c r="J1371" s="12" t="str">
        <f>HYPERLINK("https://www.boe.es/gazeta/dias/1803/09/30/pdfs/GMD-1803-79.pdf#page=8","Abrir facsímil")</f>
        <v>Abrir facsímil</v>
      </c>
      <c r="K1371" s="15" t="s">
        <v>23</v>
      </c>
    </row>
    <row r="1372" spans="1:11" ht="42" customHeight="1">
      <c r="A1372" s="4" t="s">
        <v>3624</v>
      </c>
      <c r="B1372" s="5" t="s">
        <v>3625</v>
      </c>
      <c r="C1372" s="5" t="s">
        <v>26</v>
      </c>
      <c r="D1372" s="5" t="s">
        <v>27</v>
      </c>
      <c r="E1372" s="5" t="s">
        <v>160</v>
      </c>
      <c r="F1372" s="9">
        <v>81</v>
      </c>
      <c r="G1372" s="9">
        <v>875</v>
      </c>
      <c r="H1372" s="5" t="s">
        <v>21</v>
      </c>
      <c r="I1372" s="5" t="s">
        <v>3643</v>
      </c>
      <c r="J1372" s="12" t="str">
        <f>HYPERLINK("https://www.boe.es/gazeta/dias/1803/10/07/pdfs/GMD-1803-81.pdf#page=11","Abrir facsímil")</f>
        <v>Abrir facsímil</v>
      </c>
      <c r="K1372" s="15" t="s">
        <v>23</v>
      </c>
    </row>
    <row r="1373" spans="1:11" ht="42" customHeight="1">
      <c r="A1373" s="4" t="s">
        <v>3624</v>
      </c>
      <c r="B1373" s="5" t="s">
        <v>3625</v>
      </c>
      <c r="C1373" s="5" t="s">
        <v>26</v>
      </c>
      <c r="D1373" s="5" t="s">
        <v>27</v>
      </c>
      <c r="E1373" s="5" t="s">
        <v>164</v>
      </c>
      <c r="F1373" s="9">
        <v>84</v>
      </c>
      <c r="G1373" s="9">
        <v>904</v>
      </c>
      <c r="H1373" s="5" t="s">
        <v>21</v>
      </c>
      <c r="I1373" s="5" t="s">
        <v>3644</v>
      </c>
      <c r="J1373" s="12" t="str">
        <f>HYPERLINK("https://www.boe.es/gazeta/dias/1803/10/18/pdfs/GMD-1803-84.pdf#page=8","Abrir facsímil")</f>
        <v>Abrir facsímil</v>
      </c>
      <c r="K1373" s="15" t="s">
        <v>23</v>
      </c>
    </row>
    <row r="1374" spans="1:11" ht="42" customHeight="1">
      <c r="A1374" s="4" t="s">
        <v>3624</v>
      </c>
      <c r="B1374" s="5" t="s">
        <v>3625</v>
      </c>
      <c r="C1374" s="5" t="s">
        <v>26</v>
      </c>
      <c r="D1374" s="5" t="s">
        <v>27</v>
      </c>
      <c r="E1374" s="5" t="s">
        <v>113</v>
      </c>
      <c r="F1374" s="9">
        <v>93</v>
      </c>
      <c r="G1374" s="9">
        <v>998</v>
      </c>
      <c r="H1374" s="5" t="s">
        <v>21</v>
      </c>
      <c r="I1374" s="5" t="s">
        <v>3645</v>
      </c>
      <c r="J1374" s="12" t="str">
        <f>HYPERLINK("https://www.boe.es/gazeta/dias/1803/11/18/pdfs/GMD-1803-93.pdf#page=10","Abrir facsímil")</f>
        <v>Abrir facsímil</v>
      </c>
      <c r="K1374" s="15" t="s">
        <v>23</v>
      </c>
    </row>
    <row r="1375" spans="1:11" ht="42" customHeight="1">
      <c r="A1375" s="4" t="s">
        <v>3624</v>
      </c>
      <c r="B1375" s="5" t="s">
        <v>3625</v>
      </c>
      <c r="C1375" s="5" t="s">
        <v>26</v>
      </c>
      <c r="D1375" s="5" t="s">
        <v>27</v>
      </c>
      <c r="E1375" s="5" t="s">
        <v>109</v>
      </c>
      <c r="F1375" s="9">
        <v>102</v>
      </c>
      <c r="G1375" s="9">
        <v>1099</v>
      </c>
      <c r="H1375" s="5" t="s">
        <v>21</v>
      </c>
      <c r="I1375" s="5" t="s">
        <v>3646</v>
      </c>
      <c r="J1375" s="12" t="str">
        <f>HYPERLINK("https://www.boe.es/gazeta/dias/1803/12/20/pdfs/GMD-1803-102.pdf#page=11","Abrir facsímil")</f>
        <v>Abrir facsímil</v>
      </c>
      <c r="K1375" s="15" t="s">
        <v>23</v>
      </c>
    </row>
    <row r="1376" spans="1:11" ht="42" customHeight="1">
      <c r="A1376" s="4" t="s">
        <v>3647</v>
      </c>
      <c r="B1376" s="5" t="s">
        <v>3648</v>
      </c>
      <c r="C1376" s="5" t="s">
        <v>26</v>
      </c>
      <c r="D1376" s="5" t="s">
        <v>27</v>
      </c>
      <c r="E1376" s="5" t="s">
        <v>218</v>
      </c>
      <c r="F1376" s="9">
        <v>19</v>
      </c>
      <c r="G1376" s="9">
        <v>203</v>
      </c>
      <c r="H1376" s="5" t="s">
        <v>21</v>
      </c>
      <c r="I1376" s="5" t="s">
        <v>3649</v>
      </c>
      <c r="J1376" s="12" t="str">
        <f>HYPERLINK("https://www.boe.es/gazeta/dias/1803/03/08/pdfs/GMD-1803-19.pdf#page=11","Abrir facsímil")</f>
        <v>Abrir facsímil</v>
      </c>
      <c r="K1376" s="15" t="s">
        <v>23</v>
      </c>
    </row>
    <row r="1377" spans="1:11" ht="42" customHeight="1">
      <c r="A1377" s="4" t="s">
        <v>3647</v>
      </c>
      <c r="B1377" s="5" t="s">
        <v>3648</v>
      </c>
      <c r="C1377" s="5" t="s">
        <v>26</v>
      </c>
      <c r="D1377" s="5" t="s">
        <v>27</v>
      </c>
      <c r="E1377" s="5" t="s">
        <v>606</v>
      </c>
      <c r="F1377" s="9">
        <v>47</v>
      </c>
      <c r="G1377" s="9">
        <v>499</v>
      </c>
      <c r="H1377" s="5" t="s">
        <v>21</v>
      </c>
      <c r="I1377" s="5" t="s">
        <v>3650</v>
      </c>
      <c r="J1377" s="12" t="str">
        <f>HYPERLINK("https://www.boe.es/gazeta/dias/1803/06/14/pdfs/GMD-1803-47.pdf#page=11","Abrir facsímil")</f>
        <v>Abrir facsímil</v>
      </c>
      <c r="K1377" s="15" t="s">
        <v>23</v>
      </c>
    </row>
    <row r="1378" spans="1:11" ht="42" customHeight="1">
      <c r="A1378" s="4" t="s">
        <v>3647</v>
      </c>
      <c r="B1378" s="5" t="s">
        <v>3648</v>
      </c>
      <c r="C1378" s="5" t="s">
        <v>26</v>
      </c>
      <c r="D1378" s="5" t="s">
        <v>27</v>
      </c>
      <c r="E1378" s="5" t="s">
        <v>20</v>
      </c>
      <c r="F1378" s="9">
        <v>97</v>
      </c>
      <c r="G1378" s="9">
        <v>1044</v>
      </c>
      <c r="H1378" s="5" t="s">
        <v>21</v>
      </c>
      <c r="I1378" s="5" t="s">
        <v>3651</v>
      </c>
      <c r="J1378" s="12" t="str">
        <f>HYPERLINK("https://www.boe.es/gazeta/dias/1803/12/02/pdfs/GMD-1803-97.pdf#page=8","Abrir facsímil")</f>
        <v>Abrir facsímil</v>
      </c>
      <c r="K1378" s="15" t="s">
        <v>23</v>
      </c>
    </row>
    <row r="1379" spans="1:11" ht="42" customHeight="1">
      <c r="A1379" s="4" t="s">
        <v>3647</v>
      </c>
      <c r="B1379" s="5" t="s">
        <v>3648</v>
      </c>
      <c r="C1379" s="5" t="s">
        <v>26</v>
      </c>
      <c r="D1379" s="5" t="s">
        <v>27</v>
      </c>
      <c r="E1379" s="5" t="s">
        <v>523</v>
      </c>
      <c r="F1379" s="9">
        <v>101</v>
      </c>
      <c r="G1379" s="9">
        <v>1087</v>
      </c>
      <c r="H1379" s="5" t="s">
        <v>21</v>
      </c>
      <c r="I1379" s="5" t="s">
        <v>3652</v>
      </c>
      <c r="J1379" s="12" t="str">
        <f>HYPERLINK("https://www.boe.es/gazeta/dias/1803/12/16/pdfs/GMD-1803-101.pdf#page=11","Abrir facsímil")</f>
        <v>Abrir facsímil</v>
      </c>
      <c r="K1379" s="15" t="s">
        <v>23</v>
      </c>
    </row>
    <row r="1380" spans="1:11" ht="42" customHeight="1">
      <c r="A1380" s="4" t="s">
        <v>3653</v>
      </c>
      <c r="B1380" s="5" t="s">
        <v>3654</v>
      </c>
      <c r="C1380" s="5" t="s">
        <v>26</v>
      </c>
      <c r="D1380" s="5" t="s">
        <v>27</v>
      </c>
      <c r="E1380" s="5" t="s">
        <v>726</v>
      </c>
      <c r="F1380" s="9">
        <v>78</v>
      </c>
      <c r="G1380" s="9">
        <v>844</v>
      </c>
      <c r="H1380" s="5" t="s">
        <v>21</v>
      </c>
      <c r="I1380" s="5" t="s">
        <v>3655</v>
      </c>
      <c r="J1380" s="12" t="str">
        <f>HYPERLINK("https://www.boe.es/gazeta/dias/1803/09/27/pdfs/GMD-1803-78.pdf#page=8","Abrir facsímil")</f>
        <v>Abrir facsímil</v>
      </c>
      <c r="K1380" s="15" t="s">
        <v>23</v>
      </c>
    </row>
    <row r="1381" spans="1:11" ht="42" customHeight="1">
      <c r="A1381" s="4" t="s">
        <v>3656</v>
      </c>
      <c r="B1381" s="5" t="s">
        <v>3657</v>
      </c>
      <c r="C1381" s="5" t="s">
        <v>46</v>
      </c>
      <c r="D1381" s="5" t="s">
        <v>19</v>
      </c>
      <c r="E1381" s="5" t="s">
        <v>285</v>
      </c>
      <c r="F1381" s="9">
        <v>5</v>
      </c>
      <c r="G1381" s="9">
        <v>47</v>
      </c>
      <c r="H1381" s="5" t="s">
        <v>21</v>
      </c>
      <c r="I1381" s="5" t="s">
        <v>3658</v>
      </c>
      <c r="J1381" s="12" t="str">
        <f>HYPERLINK("https://www.boe.es/gazeta/dias/1803/01/18/pdfs/GMD-1803-5.pdf#page=11","Abrir facsímil")</f>
        <v>Abrir facsímil</v>
      </c>
      <c r="K1381" s="15" t="s">
        <v>23</v>
      </c>
    </row>
    <row r="1382" spans="1:11" ht="42" customHeight="1">
      <c r="A1382" s="4" t="s">
        <v>3656</v>
      </c>
      <c r="B1382" s="5" t="s">
        <v>3657</v>
      </c>
      <c r="C1382" s="5" t="s">
        <v>26</v>
      </c>
      <c r="D1382" s="5" t="s">
        <v>27</v>
      </c>
      <c r="E1382" s="5" t="s">
        <v>910</v>
      </c>
      <c r="F1382" s="9">
        <v>66</v>
      </c>
      <c r="G1382" s="9">
        <v>719</v>
      </c>
      <c r="H1382" s="5" t="s">
        <v>21</v>
      </c>
      <c r="I1382" s="5" t="s">
        <v>3659</v>
      </c>
      <c r="J1382" s="12" t="str">
        <f>HYPERLINK("https://www.boe.es/gazeta/dias/1803/08/19/pdfs/GMD-1803-66.pdf#page=7","Abrir facsímil")</f>
        <v>Abrir facsímil</v>
      </c>
      <c r="K1382" s="15" t="s">
        <v>23</v>
      </c>
    </row>
    <row r="1383" spans="1:11" ht="42" customHeight="1">
      <c r="A1383" s="4" t="s">
        <v>3660</v>
      </c>
      <c r="B1383" s="5" t="s">
        <v>3661</v>
      </c>
      <c r="C1383" s="5" t="s">
        <v>26</v>
      </c>
      <c r="D1383" s="5" t="s">
        <v>27</v>
      </c>
      <c r="E1383" s="5" t="s">
        <v>36</v>
      </c>
      <c r="F1383" s="9">
        <v>79</v>
      </c>
      <c r="G1383" s="9">
        <v>854</v>
      </c>
      <c r="H1383" s="5" t="s">
        <v>21</v>
      </c>
      <c r="I1383" s="5" t="s">
        <v>3662</v>
      </c>
      <c r="J1383" s="12" t="str">
        <f>HYPERLINK("https://www.boe.es/gazeta/dias/1803/09/30/pdfs/GMD-1803-79.pdf#page=6","Abrir facsímil")</f>
        <v>Abrir facsímil</v>
      </c>
      <c r="K1383" s="15" t="s">
        <v>23</v>
      </c>
    </row>
    <row r="1384" spans="1:11" ht="42" customHeight="1">
      <c r="A1384" s="4" t="s">
        <v>3663</v>
      </c>
      <c r="B1384" s="5" t="s">
        <v>3664</v>
      </c>
      <c r="C1384" s="5" t="s">
        <v>80</v>
      </c>
      <c r="D1384" s="5" t="s">
        <v>81</v>
      </c>
      <c r="E1384" s="5" t="s">
        <v>321</v>
      </c>
      <c r="F1384" s="9">
        <v>94</v>
      </c>
      <c r="G1384" s="9">
        <v>1012</v>
      </c>
      <c r="H1384" s="5" t="s">
        <v>21</v>
      </c>
      <c r="I1384" s="5" t="s">
        <v>3665</v>
      </c>
      <c r="J1384" s="12" t="str">
        <f>HYPERLINK("https://www.boe.es/gazeta/dias/1803/11/22/pdfs/GMD-1803-94.pdf#page=12","Abrir facsímil")</f>
        <v>Abrir facsímil</v>
      </c>
      <c r="K1384" s="15" t="s">
        <v>23</v>
      </c>
    </row>
    <row r="1385" spans="1:11" ht="42" customHeight="1">
      <c r="A1385" s="4" t="s">
        <v>3666</v>
      </c>
      <c r="B1385" s="5" t="s">
        <v>3667</v>
      </c>
      <c r="C1385" s="5" t="s">
        <v>46</v>
      </c>
      <c r="D1385" s="5" t="s">
        <v>19</v>
      </c>
      <c r="E1385" s="5" t="s">
        <v>42</v>
      </c>
      <c r="F1385" s="9">
        <v>10</v>
      </c>
      <c r="G1385" s="9">
        <v>103</v>
      </c>
      <c r="H1385" s="5" t="s">
        <v>21</v>
      </c>
      <c r="I1385" s="5" t="s">
        <v>3668</v>
      </c>
      <c r="J1385" s="12" t="str">
        <f>HYPERLINK("https://www.boe.es/gazeta/dias/1803/02/04/pdfs/GMD-1803-10.pdf#page=7","Abrir facsímil")</f>
        <v>Abrir facsímil</v>
      </c>
      <c r="K1385" s="15" t="s">
        <v>23</v>
      </c>
    </row>
    <row r="1386" spans="1:11" ht="42" customHeight="1">
      <c r="A1386" s="4" t="s">
        <v>3669</v>
      </c>
      <c r="B1386" s="5" t="s">
        <v>3670</v>
      </c>
      <c r="C1386" s="5" t="s">
        <v>26</v>
      </c>
      <c r="D1386" s="5" t="s">
        <v>27</v>
      </c>
      <c r="E1386" s="5" t="s">
        <v>261</v>
      </c>
      <c r="F1386" s="9">
        <v>70</v>
      </c>
      <c r="G1386" s="9">
        <v>766</v>
      </c>
      <c r="H1386" s="5" t="s">
        <v>21</v>
      </c>
      <c r="I1386" s="5" t="s">
        <v>3671</v>
      </c>
      <c r="J1386" s="12" t="str">
        <f>HYPERLINK("https://www.boe.es/gazeta/dias/1803/09/02/pdfs/GMD-1803-70.pdf#page=6","Abrir facsímil")</f>
        <v>Abrir facsímil</v>
      </c>
      <c r="K1386" s="15" t="s">
        <v>23</v>
      </c>
    </row>
    <row r="1387" spans="1:11" ht="42" customHeight="1">
      <c r="A1387" s="4" t="s">
        <v>3672</v>
      </c>
      <c r="B1387" s="5" t="s">
        <v>3673</v>
      </c>
      <c r="C1387" s="5" t="s">
        <v>51</v>
      </c>
      <c r="D1387" s="5" t="s">
        <v>52</v>
      </c>
      <c r="E1387" s="5" t="s">
        <v>174</v>
      </c>
      <c r="F1387" s="9">
        <v>21</v>
      </c>
      <c r="G1387" s="9">
        <v>223</v>
      </c>
      <c r="H1387" s="5" t="s">
        <v>21</v>
      </c>
      <c r="I1387" s="5" t="s">
        <v>3674</v>
      </c>
      <c r="J1387" s="12" t="str">
        <f>HYPERLINK("https://www.boe.es/gazeta/dias/1803/03/15/pdfs/GMD-1803-21.pdf#page=7","Abrir facsímil")</f>
        <v>Abrir facsímil</v>
      </c>
      <c r="K1387" s="15" t="s">
        <v>23</v>
      </c>
    </row>
    <row r="1388" spans="1:11" ht="42" customHeight="1">
      <c r="A1388" s="4" t="s">
        <v>3675</v>
      </c>
      <c r="B1388" s="5" t="s">
        <v>3676</v>
      </c>
      <c r="C1388" s="5" t="s">
        <v>51</v>
      </c>
      <c r="D1388" s="5" t="s">
        <v>52</v>
      </c>
      <c r="E1388" s="5" t="s">
        <v>289</v>
      </c>
      <c r="F1388" s="9">
        <v>38</v>
      </c>
      <c r="G1388" s="9">
        <v>401</v>
      </c>
      <c r="H1388" s="5" t="s">
        <v>21</v>
      </c>
      <c r="I1388" s="5" t="s">
        <v>3677</v>
      </c>
      <c r="J1388" s="12" t="str">
        <f>HYPERLINK("https://www.boe.es/gazeta/dias/1803/05/13/pdfs/GMD-1803-38.pdf#page=9","Abrir facsímil")</f>
        <v>Abrir facsímil</v>
      </c>
      <c r="K1388" s="15" t="s">
        <v>23</v>
      </c>
    </row>
    <row r="1389" spans="1:11" ht="42" customHeight="1">
      <c r="A1389" s="4" t="s">
        <v>3678</v>
      </c>
      <c r="B1389" s="5" t="s">
        <v>3679</v>
      </c>
      <c r="C1389" s="5" t="s">
        <v>26</v>
      </c>
      <c r="D1389" s="5" t="s">
        <v>27</v>
      </c>
      <c r="E1389" s="5" t="s">
        <v>75</v>
      </c>
      <c r="F1389" s="9">
        <v>56</v>
      </c>
      <c r="G1389" s="9">
        <v>611</v>
      </c>
      <c r="H1389" s="5" t="s">
        <v>21</v>
      </c>
      <c r="I1389" s="5" t="s">
        <v>3680</v>
      </c>
      <c r="J1389" s="12" t="str">
        <f>HYPERLINK("https://www.boe.es/gazeta/dias/1803/07/15/pdfs/GMD-1803-56.pdf#page=7","Abrir facsímil")</f>
        <v>Abrir facsímil</v>
      </c>
      <c r="K1389" s="15" t="s">
        <v>23</v>
      </c>
    </row>
    <row r="1390" spans="1:11" ht="42" customHeight="1">
      <c r="A1390" s="4" t="s">
        <v>3681</v>
      </c>
      <c r="B1390" s="5" t="s">
        <v>3682</v>
      </c>
      <c r="C1390" s="5" t="s">
        <v>26</v>
      </c>
      <c r="D1390" s="5" t="s">
        <v>27</v>
      </c>
      <c r="E1390" s="5" t="s">
        <v>93</v>
      </c>
      <c r="F1390" s="9">
        <v>43</v>
      </c>
      <c r="G1390" s="9">
        <v>450</v>
      </c>
      <c r="H1390" s="5" t="s">
        <v>21</v>
      </c>
      <c r="I1390" s="5" t="s">
        <v>3683</v>
      </c>
      <c r="J1390" s="12" t="str">
        <f>HYPERLINK("https://www.boe.es/gazeta/dias/1803/05/31/pdfs/GMD-1803-43.pdf#page=10","Abrir facsímil")</f>
        <v>Abrir facsímil</v>
      </c>
      <c r="K1390" s="15" t="s">
        <v>23</v>
      </c>
    </row>
    <row r="1391" spans="1:11" ht="42" customHeight="1">
      <c r="A1391" s="4" t="s">
        <v>3684</v>
      </c>
      <c r="B1391" s="5" t="s">
        <v>3685</v>
      </c>
      <c r="C1391" s="5" t="s">
        <v>26</v>
      </c>
      <c r="D1391" s="5" t="s">
        <v>27</v>
      </c>
      <c r="E1391" s="5" t="s">
        <v>57</v>
      </c>
      <c r="F1391" s="9">
        <v>51</v>
      </c>
      <c r="G1391" s="9">
        <v>552</v>
      </c>
      <c r="H1391" s="5" t="s">
        <v>21</v>
      </c>
      <c r="I1391" s="5" t="s">
        <v>3686</v>
      </c>
      <c r="J1391" s="12" t="str">
        <f>HYPERLINK("https://www.boe.es/gazeta/dias/1803/06/28/pdfs/GMD-1803-51.pdf#page=8","Abrir facsímil")</f>
        <v>Abrir facsímil</v>
      </c>
      <c r="K1391" s="15" t="s">
        <v>23</v>
      </c>
    </row>
    <row r="1392" spans="1:11" ht="42" customHeight="1">
      <c r="A1392" s="4" t="s">
        <v>3687</v>
      </c>
      <c r="B1392" s="5" t="s">
        <v>3688</v>
      </c>
      <c r="C1392" s="5" t="s">
        <v>26</v>
      </c>
      <c r="D1392" s="5" t="s">
        <v>27</v>
      </c>
      <c r="E1392" s="5" t="s">
        <v>328</v>
      </c>
      <c r="F1392" s="9">
        <v>54</v>
      </c>
      <c r="G1392" s="9">
        <v>590</v>
      </c>
      <c r="H1392" s="5" t="s">
        <v>21</v>
      </c>
      <c r="I1392" s="5" t="s">
        <v>3689</v>
      </c>
      <c r="J1392" s="12" t="str">
        <f>HYPERLINK("https://www.boe.es/gazeta/dias/1803/07/08/pdfs/GMD-1803-54.pdf#page=10","Abrir facsímil")</f>
        <v>Abrir facsímil</v>
      </c>
      <c r="K1392" s="15" t="s">
        <v>23</v>
      </c>
    </row>
    <row r="1393" spans="1:11" ht="42" customHeight="1">
      <c r="A1393" s="4" t="s">
        <v>3690</v>
      </c>
      <c r="B1393" s="5" t="s">
        <v>3691</v>
      </c>
      <c r="C1393" s="5" t="s">
        <v>51</v>
      </c>
      <c r="D1393" s="5" t="s">
        <v>52</v>
      </c>
      <c r="E1393" s="5" t="s">
        <v>83</v>
      </c>
      <c r="F1393" s="9">
        <v>28</v>
      </c>
      <c r="G1393" s="9">
        <v>304</v>
      </c>
      <c r="H1393" s="5" t="s">
        <v>21</v>
      </c>
      <c r="I1393" s="5" t="s">
        <v>3692</v>
      </c>
      <c r="J1393" s="12" t="str">
        <f>HYPERLINK("https://www.boe.es/gazeta/dias/1803/04/08/pdfs/GMD-1803-28.pdf#page=8","Abrir facsímil")</f>
        <v>Abrir facsímil</v>
      </c>
      <c r="K1393" s="15" t="s">
        <v>23</v>
      </c>
    </row>
    <row r="1394" spans="1:11" ht="42" customHeight="1">
      <c r="A1394" s="4" t="s">
        <v>3693</v>
      </c>
      <c r="B1394" s="5" t="s">
        <v>3694</v>
      </c>
      <c r="C1394" s="5" t="s">
        <v>18</v>
      </c>
      <c r="D1394" s="5" t="s">
        <v>19</v>
      </c>
      <c r="E1394" s="5" t="s">
        <v>439</v>
      </c>
      <c r="F1394" s="9">
        <v>76</v>
      </c>
      <c r="G1394" s="9">
        <v>822</v>
      </c>
      <c r="H1394" s="5" t="s">
        <v>21</v>
      </c>
      <c r="I1394" s="5" t="s">
        <v>3695</v>
      </c>
      <c r="J1394" s="12" t="str">
        <f>HYPERLINK("https://www.boe.es/gazeta/dias/1803/09/20/pdfs/GMD-1803-76.pdf#page=10","Abrir facsímil")</f>
        <v>Abrir facsímil</v>
      </c>
      <c r="K1394" s="15" t="s">
        <v>23</v>
      </c>
    </row>
    <row r="1395" spans="1:11" ht="42" customHeight="1">
      <c r="A1395" s="4" t="s">
        <v>3696</v>
      </c>
      <c r="B1395" s="5" t="s">
        <v>3697</v>
      </c>
      <c r="C1395" s="5" t="s">
        <v>26</v>
      </c>
      <c r="D1395" s="5" t="s">
        <v>27</v>
      </c>
      <c r="E1395" s="5" t="s">
        <v>514</v>
      </c>
      <c r="F1395" s="9">
        <v>42</v>
      </c>
      <c r="G1395" s="9">
        <v>440</v>
      </c>
      <c r="H1395" s="5" t="s">
        <v>21</v>
      </c>
      <c r="I1395" s="5" t="s">
        <v>3698</v>
      </c>
      <c r="J1395" s="12" t="str">
        <f>HYPERLINK("https://www.boe.es/gazeta/dias/1803/05/27/pdfs/GMD-1803-42.pdf#page=8","Abrir facsímil")</f>
        <v>Abrir facsímil</v>
      </c>
      <c r="K1395" s="15" t="s">
        <v>23</v>
      </c>
    </row>
    <row r="1396" spans="1:11" ht="42" customHeight="1">
      <c r="A1396" s="4" t="s">
        <v>3699</v>
      </c>
      <c r="B1396" s="5" t="s">
        <v>3700</v>
      </c>
      <c r="C1396" s="5" t="s">
        <v>18</v>
      </c>
      <c r="D1396" s="5" t="s">
        <v>19</v>
      </c>
      <c r="E1396" s="5" t="s">
        <v>395</v>
      </c>
      <c r="F1396" s="9">
        <v>13</v>
      </c>
      <c r="G1396" s="9">
        <v>136</v>
      </c>
      <c r="H1396" s="5" t="s">
        <v>21</v>
      </c>
      <c r="I1396" s="5" t="s">
        <v>3701</v>
      </c>
      <c r="J1396" s="12" t="str">
        <f>HYPERLINK("https://www.boe.es/gazeta/dias/1803/02/15/pdfs/GMD-1803-13.pdf#page=12","Abrir facsímil")</f>
        <v>Abrir facsímil</v>
      </c>
      <c r="K1396" s="15" t="s">
        <v>23</v>
      </c>
    </row>
    <row r="1397" spans="1:11" ht="42" customHeight="1">
      <c r="A1397" s="4" t="s">
        <v>3699</v>
      </c>
      <c r="B1397" s="5" t="s">
        <v>3700</v>
      </c>
      <c r="C1397" s="5" t="s">
        <v>26</v>
      </c>
      <c r="D1397" s="5" t="s">
        <v>27</v>
      </c>
      <c r="E1397" s="5" t="s">
        <v>99</v>
      </c>
      <c r="F1397" s="9">
        <v>29</v>
      </c>
      <c r="G1397" s="9">
        <v>312</v>
      </c>
      <c r="H1397" s="5" t="s">
        <v>21</v>
      </c>
      <c r="I1397" s="5" t="s">
        <v>3702</v>
      </c>
      <c r="J1397" s="12" t="str">
        <f>HYPERLINK("https://www.boe.es/gazeta/dias/1803/04/12/pdfs/GMD-1803-29.pdf#page=8","Abrir facsímil")</f>
        <v>Abrir facsímil</v>
      </c>
      <c r="K1397" s="15" t="s">
        <v>23</v>
      </c>
    </row>
    <row r="1398" spans="1:11" ht="42" customHeight="1">
      <c r="A1398" s="4" t="s">
        <v>3699</v>
      </c>
      <c r="B1398" s="5" t="s">
        <v>3700</v>
      </c>
      <c r="C1398" s="5" t="s">
        <v>46</v>
      </c>
      <c r="D1398" s="5" t="s">
        <v>19</v>
      </c>
      <c r="E1398" s="5" t="s">
        <v>203</v>
      </c>
      <c r="F1398" s="9">
        <v>32</v>
      </c>
      <c r="G1398" s="9">
        <v>339</v>
      </c>
      <c r="H1398" s="5" t="s">
        <v>21</v>
      </c>
      <c r="I1398" s="5" t="s">
        <v>3703</v>
      </c>
      <c r="J1398" s="12" t="str">
        <f>HYPERLINK("https://www.boe.es/gazeta/dias/1803/04/22/pdfs/GMD-1803-32.pdf#page=11","Abrir facsímil")</f>
        <v>Abrir facsímil</v>
      </c>
      <c r="K1398" s="15" t="s">
        <v>23</v>
      </c>
    </row>
    <row r="1399" spans="1:11" ht="42" customHeight="1">
      <c r="A1399" s="4" t="s">
        <v>3699</v>
      </c>
      <c r="B1399" s="5" t="s">
        <v>3700</v>
      </c>
      <c r="C1399" s="5" t="s">
        <v>26</v>
      </c>
      <c r="D1399" s="5" t="s">
        <v>27</v>
      </c>
      <c r="E1399" s="5" t="s">
        <v>606</v>
      </c>
      <c r="F1399" s="9">
        <v>47</v>
      </c>
      <c r="G1399" s="9">
        <v>499</v>
      </c>
      <c r="H1399" s="5" t="s">
        <v>21</v>
      </c>
      <c r="I1399" s="5" t="s">
        <v>3704</v>
      </c>
      <c r="J1399" s="12" t="str">
        <f>HYPERLINK("https://www.boe.es/gazeta/dias/1803/06/14/pdfs/GMD-1803-47.pdf#page=11","Abrir facsímil")</f>
        <v>Abrir facsímil</v>
      </c>
      <c r="K1399" s="15" t="s">
        <v>23</v>
      </c>
    </row>
    <row r="1400" spans="1:11" ht="42" customHeight="1">
      <c r="A1400" s="4" t="s">
        <v>3699</v>
      </c>
      <c r="B1400" s="5" t="s">
        <v>3700</v>
      </c>
      <c r="C1400" s="5" t="s">
        <v>80</v>
      </c>
      <c r="D1400" s="5" t="s">
        <v>81</v>
      </c>
      <c r="E1400" s="5" t="s">
        <v>20</v>
      </c>
      <c r="F1400" s="9">
        <v>97</v>
      </c>
      <c r="G1400" s="9">
        <v>1044</v>
      </c>
      <c r="H1400" s="5" t="s">
        <v>21</v>
      </c>
      <c r="I1400" s="5" t="s">
        <v>3705</v>
      </c>
      <c r="J1400" s="12" t="str">
        <f>HYPERLINK("https://www.boe.es/gazeta/dias/1803/12/02/pdfs/GMD-1803-97.pdf#page=8","Abrir facsímil")</f>
        <v>Abrir facsímil</v>
      </c>
      <c r="K1400" s="15" t="s">
        <v>23</v>
      </c>
    </row>
    <row r="1401" spans="1:11" ht="42" customHeight="1">
      <c r="A1401" s="4" t="s">
        <v>3706</v>
      </c>
      <c r="B1401" s="5" t="s">
        <v>3707</v>
      </c>
      <c r="C1401" s="5" t="s">
        <v>51</v>
      </c>
      <c r="D1401" s="5" t="s">
        <v>52</v>
      </c>
      <c r="E1401" s="5" t="s">
        <v>752</v>
      </c>
      <c r="F1401" s="9">
        <v>30</v>
      </c>
      <c r="G1401" s="9">
        <v>320</v>
      </c>
      <c r="H1401" s="5" t="s">
        <v>21</v>
      </c>
      <c r="I1401" s="5" t="s">
        <v>3708</v>
      </c>
      <c r="J1401" s="12" t="str">
        <f>HYPERLINK("https://www.boe.es/gazeta/dias/1803/04/15/pdfs/GMD-1803-30.pdf#page=8","Abrir facsímil")</f>
        <v>Abrir facsímil</v>
      </c>
      <c r="K1401" s="15" t="s">
        <v>23</v>
      </c>
    </row>
    <row r="1402" spans="1:11" ht="42" customHeight="1">
      <c r="A1402" s="4" t="s">
        <v>3709</v>
      </c>
      <c r="B1402" s="5" t="s">
        <v>3710</v>
      </c>
      <c r="C1402" s="5" t="s">
        <v>18</v>
      </c>
      <c r="D1402" s="5" t="s">
        <v>19</v>
      </c>
      <c r="E1402" s="5" t="s">
        <v>910</v>
      </c>
      <c r="F1402" s="9">
        <v>66</v>
      </c>
      <c r="G1402" s="9">
        <v>719</v>
      </c>
      <c r="H1402" s="5" t="s">
        <v>21</v>
      </c>
      <c r="I1402" s="5" t="s">
        <v>3711</v>
      </c>
      <c r="J1402" s="12" t="str">
        <f>HYPERLINK("https://www.boe.es/gazeta/dias/1803/08/19/pdfs/GMD-1803-66.pdf#page=7","Abrir facsímil")</f>
        <v>Abrir facsímil</v>
      </c>
      <c r="K1402" s="15" t="s">
        <v>23</v>
      </c>
    </row>
    <row r="1403" spans="1:11" ht="42" customHeight="1">
      <c r="A1403" s="4" t="s">
        <v>3709</v>
      </c>
      <c r="B1403" s="5" t="s">
        <v>3710</v>
      </c>
      <c r="C1403" s="5" t="s">
        <v>18</v>
      </c>
      <c r="D1403" s="5" t="s">
        <v>19</v>
      </c>
      <c r="E1403" s="5" t="s">
        <v>373</v>
      </c>
      <c r="F1403" s="9">
        <v>77</v>
      </c>
      <c r="G1403" s="9">
        <v>833</v>
      </c>
      <c r="H1403" s="5" t="s">
        <v>21</v>
      </c>
      <c r="I1403" s="5" t="s">
        <v>3712</v>
      </c>
      <c r="J1403" s="12" t="str">
        <f>HYPERLINK("https://www.boe.es/gazeta/dias/1803/09/23/pdfs/GMD-1803-77.pdf#page=9","Abrir facsímil")</f>
        <v>Abrir facsímil</v>
      </c>
      <c r="K1403" s="15" t="s">
        <v>23</v>
      </c>
    </row>
    <row r="1404" spans="1:11" ht="42" customHeight="1">
      <c r="A1404" s="4" t="s">
        <v>3713</v>
      </c>
      <c r="B1404" s="5" t="s">
        <v>3714</v>
      </c>
      <c r="C1404" s="5" t="s">
        <v>80</v>
      </c>
      <c r="D1404" s="5" t="s">
        <v>81</v>
      </c>
      <c r="E1404" s="5" t="s">
        <v>389</v>
      </c>
      <c r="F1404" s="9">
        <v>41</v>
      </c>
      <c r="G1404" s="9">
        <v>432</v>
      </c>
      <c r="H1404" s="5" t="s">
        <v>21</v>
      </c>
      <c r="I1404" s="5" t="s">
        <v>3715</v>
      </c>
      <c r="J1404" s="12" t="str">
        <f>HYPERLINK("https://www.boe.es/gazeta/dias/1803/05/24/pdfs/GMD-1803-41.pdf#page=8","Abrir facsímil")</f>
        <v>Abrir facsímil</v>
      </c>
      <c r="K1404" s="15" t="s">
        <v>23</v>
      </c>
    </row>
    <row r="1405" spans="1:11" ht="42" customHeight="1">
      <c r="A1405" s="4" t="s">
        <v>3716</v>
      </c>
      <c r="B1405" s="5" t="s">
        <v>3717</v>
      </c>
      <c r="C1405" s="5" t="s">
        <v>18</v>
      </c>
      <c r="D1405" s="5" t="s">
        <v>19</v>
      </c>
      <c r="E1405" s="5" t="s">
        <v>263</v>
      </c>
      <c r="F1405" s="9">
        <v>75</v>
      </c>
      <c r="G1405" s="9">
        <v>811</v>
      </c>
      <c r="H1405" s="5" t="s">
        <v>21</v>
      </c>
      <c r="I1405" s="5" t="s">
        <v>3718</v>
      </c>
      <c r="J1405" s="12" t="str">
        <f>HYPERLINK("https://www.boe.es/gazeta/dias/1803/09/16/pdfs/GMD-1803-75.pdf#page=7","Abrir facsímil")</f>
        <v>Abrir facsímil</v>
      </c>
      <c r="K1405" s="15" t="s">
        <v>23</v>
      </c>
    </row>
    <row r="1406" spans="1:11" ht="42" customHeight="1">
      <c r="A1406" s="4" t="s">
        <v>3719</v>
      </c>
      <c r="B1406" s="5" t="s">
        <v>3720</v>
      </c>
      <c r="C1406" s="5" t="s">
        <v>51</v>
      </c>
      <c r="D1406" s="5" t="s">
        <v>52</v>
      </c>
      <c r="E1406" s="5" t="s">
        <v>160</v>
      </c>
      <c r="F1406" s="9">
        <v>81</v>
      </c>
      <c r="G1406" s="9">
        <v>871</v>
      </c>
      <c r="H1406" s="5" t="s">
        <v>21</v>
      </c>
      <c r="I1406" s="5" t="s">
        <v>3721</v>
      </c>
      <c r="J1406" s="12" t="str">
        <f>HYPERLINK("https://www.boe.es/gazeta/dias/1803/10/07/pdfs/GMD-1803-81.pdf#page=7","Abrir facsímil")</f>
        <v>Abrir facsímil</v>
      </c>
      <c r="K1406" s="15" t="s">
        <v>23</v>
      </c>
    </row>
    <row r="1407" spans="1:11" ht="42" customHeight="1">
      <c r="A1407" s="4" t="s">
        <v>3722</v>
      </c>
      <c r="B1407" s="5" t="s">
        <v>3723</v>
      </c>
      <c r="C1407" s="5" t="s">
        <v>51</v>
      </c>
      <c r="D1407" s="5" t="s">
        <v>52</v>
      </c>
      <c r="E1407" s="5" t="s">
        <v>340</v>
      </c>
      <c r="F1407" s="9">
        <v>55</v>
      </c>
      <c r="G1407" s="9">
        <v>602</v>
      </c>
      <c r="H1407" s="5" t="s">
        <v>21</v>
      </c>
      <c r="I1407" s="5" t="s">
        <v>3724</v>
      </c>
      <c r="J1407" s="12" t="str">
        <f>HYPERLINK("https://www.boe.es/gazeta/dias/1803/07/12/pdfs/GMD-1803-55.pdf#page=10","Abrir facsímil")</f>
        <v>Abrir facsímil</v>
      </c>
      <c r="K1407" s="15" t="s">
        <v>23</v>
      </c>
    </row>
    <row r="1408" spans="1:11" ht="42" customHeight="1">
      <c r="A1408" s="4" t="s">
        <v>3725</v>
      </c>
      <c r="B1408" s="5" t="s">
        <v>3726</v>
      </c>
      <c r="C1408" s="5" t="s">
        <v>46</v>
      </c>
      <c r="D1408" s="5" t="s">
        <v>19</v>
      </c>
      <c r="E1408" s="5" t="s">
        <v>795</v>
      </c>
      <c r="F1408" s="9">
        <v>98</v>
      </c>
      <c r="G1408" s="9">
        <v>1050</v>
      </c>
      <c r="H1408" s="5" t="s">
        <v>21</v>
      </c>
      <c r="I1408" s="5" t="s">
        <v>3727</v>
      </c>
      <c r="J1408" s="12" t="str">
        <f>HYPERLINK("https://www.boe.es/gazeta/dias/1803/12/06/pdfs/GMD-1803-98.pdf#page=6","Abrir facsímil")</f>
        <v>Abrir facsímil</v>
      </c>
      <c r="K1408" s="15" t="s">
        <v>23</v>
      </c>
    </row>
    <row r="1409" spans="1:11" ht="42" customHeight="1">
      <c r="A1409" s="4" t="s">
        <v>3728</v>
      </c>
      <c r="B1409" s="5" t="s">
        <v>3729</v>
      </c>
      <c r="C1409" s="5" t="s">
        <v>46</v>
      </c>
      <c r="D1409" s="5" t="s">
        <v>19</v>
      </c>
      <c r="E1409" s="5" t="s">
        <v>303</v>
      </c>
      <c r="F1409" s="9">
        <v>8</v>
      </c>
      <c r="G1409" s="9">
        <v>80</v>
      </c>
      <c r="H1409" s="5" t="s">
        <v>21</v>
      </c>
      <c r="I1409" s="5" t="s">
        <v>3730</v>
      </c>
      <c r="J1409" s="12" t="str">
        <f>HYPERLINK("https://www.boe.es/gazeta/dias/1803/01/28/pdfs/GMD-1803-8.pdf#page=8","Abrir facsímil")</f>
        <v>Abrir facsímil</v>
      </c>
      <c r="K1409" s="15" t="s">
        <v>23</v>
      </c>
    </row>
    <row r="1410" spans="1:11" ht="42" customHeight="1">
      <c r="A1410" s="4" t="s">
        <v>3728</v>
      </c>
      <c r="B1410" s="5" t="s">
        <v>3729</v>
      </c>
      <c r="C1410" s="5" t="s">
        <v>46</v>
      </c>
      <c r="D1410" s="5" t="s">
        <v>19</v>
      </c>
      <c r="E1410" s="5" t="s">
        <v>657</v>
      </c>
      <c r="F1410" s="9">
        <v>24</v>
      </c>
      <c r="G1410" s="9">
        <v>258</v>
      </c>
      <c r="H1410" s="5" t="s">
        <v>21</v>
      </c>
      <c r="I1410" s="5" t="s">
        <v>3731</v>
      </c>
      <c r="J1410" s="12" t="str">
        <f>HYPERLINK("https://www.boe.es/gazeta/dias/1803/03/25/pdfs/GMD-1803-24.pdf#page=10","Abrir facsímil")</f>
        <v>Abrir facsímil</v>
      </c>
      <c r="K1410" s="15" t="s">
        <v>23</v>
      </c>
    </row>
    <row r="1411" spans="1:11" ht="42" customHeight="1">
      <c r="A1411" s="4" t="s">
        <v>3728</v>
      </c>
      <c r="B1411" s="5" t="s">
        <v>3729</v>
      </c>
      <c r="C1411" s="5" t="s">
        <v>46</v>
      </c>
      <c r="D1411" s="5" t="s">
        <v>19</v>
      </c>
      <c r="E1411" s="5" t="s">
        <v>203</v>
      </c>
      <c r="F1411" s="9">
        <v>32</v>
      </c>
      <c r="G1411" s="9">
        <v>339</v>
      </c>
      <c r="H1411" s="5" t="s">
        <v>21</v>
      </c>
      <c r="I1411" s="5" t="s">
        <v>3732</v>
      </c>
      <c r="J1411" s="12" t="str">
        <f>HYPERLINK("https://www.boe.es/gazeta/dias/1803/04/22/pdfs/GMD-1803-32.pdf#page=11","Abrir facsímil")</f>
        <v>Abrir facsímil</v>
      </c>
      <c r="K1411" s="15" t="s">
        <v>23</v>
      </c>
    </row>
    <row r="1412" spans="1:11" ht="42" customHeight="1">
      <c r="A1412" s="4" t="s">
        <v>3728</v>
      </c>
      <c r="B1412" s="5" t="s">
        <v>3729</v>
      </c>
      <c r="C1412" s="5" t="s">
        <v>46</v>
      </c>
      <c r="D1412" s="5" t="s">
        <v>19</v>
      </c>
      <c r="E1412" s="5" t="s">
        <v>77</v>
      </c>
      <c r="F1412" s="9">
        <v>64</v>
      </c>
      <c r="G1412" s="9">
        <v>700</v>
      </c>
      <c r="H1412" s="5" t="s">
        <v>21</v>
      </c>
      <c r="I1412" s="5" t="s">
        <v>3733</v>
      </c>
      <c r="J1412" s="12" t="str">
        <f>HYPERLINK("https://www.boe.es/gazeta/dias/1803/08/12/pdfs/GMD-1803-64.pdf#page=8","Abrir facsímil")</f>
        <v>Abrir facsímil</v>
      </c>
      <c r="K1412" s="15" t="s">
        <v>23</v>
      </c>
    </row>
    <row r="1413" spans="1:11" ht="42" customHeight="1">
      <c r="A1413" s="4" t="s">
        <v>3728</v>
      </c>
      <c r="B1413" s="5" t="s">
        <v>3729</v>
      </c>
      <c r="C1413" s="5" t="s">
        <v>46</v>
      </c>
      <c r="D1413" s="5" t="s">
        <v>19</v>
      </c>
      <c r="E1413" s="5" t="s">
        <v>261</v>
      </c>
      <c r="F1413" s="9">
        <v>70</v>
      </c>
      <c r="G1413" s="9">
        <v>768</v>
      </c>
      <c r="H1413" s="5" t="s">
        <v>21</v>
      </c>
      <c r="I1413" s="5" t="s">
        <v>3734</v>
      </c>
      <c r="J1413" s="12" t="str">
        <f>HYPERLINK("https://www.boe.es/gazeta/dias/1803/09/02/pdfs/GMD-1803-70.pdf#page=8","Abrir facsímil")</f>
        <v>Abrir facsímil</v>
      </c>
      <c r="K1413" s="15" t="s">
        <v>23</v>
      </c>
    </row>
    <row r="1414" spans="1:11" ht="42" customHeight="1">
      <c r="A1414" s="4" t="s">
        <v>3728</v>
      </c>
      <c r="B1414" s="5" t="s">
        <v>3729</v>
      </c>
      <c r="C1414" s="5" t="s">
        <v>46</v>
      </c>
      <c r="D1414" s="5" t="s">
        <v>19</v>
      </c>
      <c r="E1414" s="5" t="s">
        <v>263</v>
      </c>
      <c r="F1414" s="9">
        <v>75</v>
      </c>
      <c r="G1414" s="9">
        <v>811</v>
      </c>
      <c r="H1414" s="5" t="s">
        <v>21</v>
      </c>
      <c r="I1414" s="5" t="s">
        <v>3735</v>
      </c>
      <c r="J1414" s="12" t="str">
        <f>HYPERLINK("https://www.boe.es/gazeta/dias/1803/09/16/pdfs/GMD-1803-75.pdf#page=7","Abrir facsímil")</f>
        <v>Abrir facsímil</v>
      </c>
      <c r="K1414" s="15" t="s">
        <v>23</v>
      </c>
    </row>
    <row r="1415" spans="1:11" ht="42" customHeight="1">
      <c r="A1415" s="4" t="s">
        <v>3728</v>
      </c>
      <c r="B1415" s="5" t="s">
        <v>3729</v>
      </c>
      <c r="C1415" s="5" t="s">
        <v>46</v>
      </c>
      <c r="D1415" s="5" t="s">
        <v>19</v>
      </c>
      <c r="E1415" s="5" t="s">
        <v>300</v>
      </c>
      <c r="F1415" s="9">
        <v>96</v>
      </c>
      <c r="G1415" s="9">
        <v>1036</v>
      </c>
      <c r="H1415" s="5" t="s">
        <v>21</v>
      </c>
      <c r="I1415" s="5" t="s">
        <v>3736</v>
      </c>
      <c r="J1415" s="12" t="str">
        <f>HYPERLINK("https://www.boe.es/gazeta/dias/1803/11/29/pdfs/GMD-1803-96.pdf#page=12","Abrir facsímil")</f>
        <v>Abrir facsímil</v>
      </c>
      <c r="K1415" s="15" t="s">
        <v>23</v>
      </c>
    </row>
    <row r="1416" spans="1:11" ht="42" customHeight="1">
      <c r="A1416" s="4" t="s">
        <v>3737</v>
      </c>
      <c r="B1416" s="5" t="s">
        <v>3738</v>
      </c>
      <c r="C1416" s="5" t="s">
        <v>26</v>
      </c>
      <c r="D1416" s="5" t="s">
        <v>27</v>
      </c>
      <c r="E1416" s="5" t="s">
        <v>657</v>
      </c>
      <c r="F1416" s="9">
        <v>24</v>
      </c>
      <c r="G1416" s="9">
        <v>256</v>
      </c>
      <c r="H1416" s="5" t="s">
        <v>21</v>
      </c>
      <c r="I1416" s="5" t="s">
        <v>3739</v>
      </c>
      <c r="J1416" s="12" t="str">
        <f>HYPERLINK("https://www.boe.es/gazeta/dias/1803/03/25/pdfs/GMD-1803-24.pdf#page=8","Abrir facsímil")</f>
        <v>Abrir facsímil</v>
      </c>
      <c r="K1416" s="15" t="s">
        <v>23</v>
      </c>
    </row>
    <row r="1417" spans="1:11" ht="42" customHeight="1">
      <c r="A1417" s="4" t="s">
        <v>3740</v>
      </c>
      <c r="B1417" s="5" t="s">
        <v>3741</v>
      </c>
      <c r="C1417" s="5" t="s">
        <v>26</v>
      </c>
      <c r="D1417" s="5" t="s">
        <v>27</v>
      </c>
      <c r="E1417" s="5" t="s">
        <v>726</v>
      </c>
      <c r="F1417" s="9">
        <v>78</v>
      </c>
      <c r="G1417" s="9">
        <v>846</v>
      </c>
      <c r="H1417" s="5" t="s">
        <v>21</v>
      </c>
      <c r="I1417" s="5" t="s">
        <v>3742</v>
      </c>
      <c r="J1417" s="12" t="str">
        <f>HYPERLINK("https://www.boe.es/gazeta/dias/1803/09/27/pdfs/GMD-1803-78.pdf#page=10","Abrir facsímil")</f>
        <v>Abrir facsímil</v>
      </c>
      <c r="K1417" s="15" t="s">
        <v>23</v>
      </c>
    </row>
    <row r="1418" spans="1:11" ht="42" customHeight="1">
      <c r="A1418" s="4" t="s">
        <v>3743</v>
      </c>
      <c r="B1418" s="5" t="s">
        <v>3744</v>
      </c>
      <c r="C1418" s="5" t="s">
        <v>26</v>
      </c>
      <c r="D1418" s="5" t="s">
        <v>27</v>
      </c>
      <c r="E1418" s="5" t="s">
        <v>501</v>
      </c>
      <c r="F1418" s="9">
        <v>22</v>
      </c>
      <c r="G1418" s="9">
        <v>237</v>
      </c>
      <c r="H1418" s="5" t="s">
        <v>21</v>
      </c>
      <c r="I1418" s="5" t="s">
        <v>3745</v>
      </c>
      <c r="J1418" s="12" t="str">
        <f>HYPERLINK("https://www.boe.es/gazeta/dias/1803/03/18/pdfs/GMD-1803-22.pdf#page=9","Abrir facsímil")</f>
        <v>Abrir facsímil</v>
      </c>
      <c r="K1418" s="15" t="s">
        <v>23</v>
      </c>
    </row>
    <row r="1419" spans="1:11" ht="42" customHeight="1">
      <c r="A1419" s="4" t="s">
        <v>3746</v>
      </c>
      <c r="B1419" s="5" t="s">
        <v>3747</v>
      </c>
      <c r="C1419" s="5" t="s">
        <v>26</v>
      </c>
      <c r="D1419" s="5" t="s">
        <v>27</v>
      </c>
      <c r="E1419" s="5" t="s">
        <v>263</v>
      </c>
      <c r="F1419" s="9">
        <v>75</v>
      </c>
      <c r="G1419" s="9">
        <v>811</v>
      </c>
      <c r="H1419" s="5" t="s">
        <v>21</v>
      </c>
      <c r="I1419" s="5" t="s">
        <v>3748</v>
      </c>
      <c r="J1419" s="12" t="str">
        <f>HYPERLINK("https://www.boe.es/gazeta/dias/1803/09/16/pdfs/GMD-1803-75.pdf#page=7","Abrir facsímil")</f>
        <v>Abrir facsímil</v>
      </c>
      <c r="K1419" s="15" t="s">
        <v>23</v>
      </c>
    </row>
    <row r="1420" spans="1:11" ht="42" customHeight="1">
      <c r="A1420" s="4" t="s">
        <v>3749</v>
      </c>
      <c r="B1420" s="5" t="s">
        <v>3750</v>
      </c>
      <c r="C1420" s="5" t="s">
        <v>26</v>
      </c>
      <c r="D1420" s="5" t="s">
        <v>27</v>
      </c>
      <c r="E1420" s="5" t="s">
        <v>395</v>
      </c>
      <c r="F1420" s="9">
        <v>13</v>
      </c>
      <c r="G1420" s="9">
        <v>125</v>
      </c>
      <c r="H1420" s="5" t="s">
        <v>21</v>
      </c>
      <c r="I1420" s="5" t="s">
        <v>3751</v>
      </c>
      <c r="J1420" s="12" t="str">
        <f>HYPERLINK("https://www.boe.es/gazeta/dias/1803/02/15/pdfs/GMD-1803-13.pdf#page=1","Abrir facsímil")</f>
        <v>Abrir facsímil</v>
      </c>
      <c r="K1420" s="15" t="s">
        <v>23</v>
      </c>
    </row>
    <row r="1421" spans="1:11" ht="42" customHeight="1">
      <c r="A1421" s="4" t="s">
        <v>3752</v>
      </c>
      <c r="B1421" s="5" t="s">
        <v>3753</v>
      </c>
      <c r="C1421" s="5" t="s">
        <v>51</v>
      </c>
      <c r="D1421" s="5" t="s">
        <v>52</v>
      </c>
      <c r="E1421" s="5" t="s">
        <v>289</v>
      </c>
      <c r="F1421" s="9">
        <v>38</v>
      </c>
      <c r="G1421" s="9">
        <v>401</v>
      </c>
      <c r="H1421" s="5" t="s">
        <v>21</v>
      </c>
      <c r="I1421" s="5" t="s">
        <v>3754</v>
      </c>
      <c r="J1421" s="12" t="str">
        <f>HYPERLINK("https://www.boe.es/gazeta/dias/1803/05/13/pdfs/GMD-1803-38.pdf#page=9","Abrir facsímil")</f>
        <v>Abrir facsímil</v>
      </c>
      <c r="K1421" s="15" t="s">
        <v>23</v>
      </c>
    </row>
    <row r="1422" spans="1:11" ht="42" customHeight="1">
      <c r="A1422" s="4" t="s">
        <v>3755</v>
      </c>
      <c r="B1422" s="5" t="s">
        <v>3756</v>
      </c>
      <c r="C1422" s="5" t="s">
        <v>26</v>
      </c>
      <c r="D1422" s="5" t="s">
        <v>27</v>
      </c>
      <c r="E1422" s="5" t="s">
        <v>263</v>
      </c>
      <c r="F1422" s="9">
        <v>75</v>
      </c>
      <c r="G1422" s="9">
        <v>811</v>
      </c>
      <c r="H1422" s="5" t="s">
        <v>21</v>
      </c>
      <c r="I1422" s="5" t="s">
        <v>3757</v>
      </c>
      <c r="J1422" s="12" t="str">
        <f>HYPERLINK("https://www.boe.es/gazeta/dias/1803/09/16/pdfs/GMD-1803-75.pdf#page=7","Abrir facsímil")</f>
        <v>Abrir facsímil</v>
      </c>
      <c r="K1422" s="15" t="s">
        <v>23</v>
      </c>
    </row>
    <row r="1423" spans="1:11" ht="42" customHeight="1">
      <c r="A1423" s="4" t="s">
        <v>3758</v>
      </c>
      <c r="B1423" s="5" t="s">
        <v>3759</v>
      </c>
      <c r="C1423" s="5" t="s">
        <v>51</v>
      </c>
      <c r="D1423" s="5" t="s">
        <v>52</v>
      </c>
      <c r="E1423" s="5" t="s">
        <v>303</v>
      </c>
      <c r="F1423" s="9">
        <v>8</v>
      </c>
      <c r="G1423" s="9">
        <v>79</v>
      </c>
      <c r="H1423" s="5" t="s">
        <v>21</v>
      </c>
      <c r="I1423" s="5" t="s">
        <v>3760</v>
      </c>
      <c r="J1423" s="12" t="str">
        <f>HYPERLINK("https://www.boe.es/gazeta/dias/1803/01/28/pdfs/GMD-1803-8.pdf#page=7","Abrir facsímil")</f>
        <v>Abrir facsímil</v>
      </c>
      <c r="K1423" s="15" t="s">
        <v>23</v>
      </c>
    </row>
    <row r="1424" spans="1:11" ht="42" customHeight="1">
      <c r="A1424" s="4" t="s">
        <v>3761</v>
      </c>
      <c r="B1424" s="5" t="s">
        <v>3762</v>
      </c>
      <c r="C1424" s="5" t="s">
        <v>26</v>
      </c>
      <c r="D1424" s="5" t="s">
        <v>27</v>
      </c>
      <c r="E1424" s="5" t="s">
        <v>71</v>
      </c>
      <c r="F1424" s="9">
        <v>39</v>
      </c>
      <c r="G1424" s="9">
        <v>413</v>
      </c>
      <c r="H1424" s="5" t="s">
        <v>21</v>
      </c>
      <c r="I1424" s="5" t="s">
        <v>3763</v>
      </c>
      <c r="J1424" s="12" t="str">
        <f>HYPERLINK("https://www.boe.es/gazeta/dias/1803/05/17/pdfs/GMD-1803-39.pdf#page=9","Abrir facsímil")</f>
        <v>Abrir facsímil</v>
      </c>
      <c r="K1424" s="15" t="s">
        <v>23</v>
      </c>
    </row>
    <row r="1425" spans="1:11" ht="42" customHeight="1">
      <c r="A1425" s="4" t="s">
        <v>3764</v>
      </c>
      <c r="B1425" s="5" t="s">
        <v>3765</v>
      </c>
      <c r="C1425" s="5" t="s">
        <v>46</v>
      </c>
      <c r="D1425" s="5" t="s">
        <v>19</v>
      </c>
      <c r="E1425" s="5" t="s">
        <v>285</v>
      </c>
      <c r="F1425" s="9">
        <v>5</v>
      </c>
      <c r="G1425" s="9">
        <v>45</v>
      </c>
      <c r="H1425" s="5" t="s">
        <v>21</v>
      </c>
      <c r="I1425" s="5" t="s">
        <v>3766</v>
      </c>
      <c r="J1425" s="12" t="str">
        <f>HYPERLINK("https://www.boe.es/gazeta/dias/1803/01/18/pdfs/GMD-1803-5.pdf#page=9","Abrir facsímil")</f>
        <v>Abrir facsímil</v>
      </c>
      <c r="K1425" s="15" t="s">
        <v>23</v>
      </c>
    </row>
    <row r="1426" spans="1:11" ht="42" customHeight="1">
      <c r="A1426" s="4" t="s">
        <v>3764</v>
      </c>
      <c r="B1426" s="5" t="s">
        <v>3765</v>
      </c>
      <c r="C1426" s="5" t="s">
        <v>46</v>
      </c>
      <c r="D1426" s="5" t="s">
        <v>19</v>
      </c>
      <c r="E1426" s="5" t="s">
        <v>336</v>
      </c>
      <c r="F1426" s="9">
        <v>105</v>
      </c>
      <c r="G1426" s="9">
        <v>1121</v>
      </c>
      <c r="H1426" s="5" t="s">
        <v>21</v>
      </c>
      <c r="I1426" s="5" t="s">
        <v>3767</v>
      </c>
      <c r="J1426" s="12" t="str">
        <f>HYPERLINK("https://www.boe.es/gazeta/dias/1803/12/30/pdfs/GMD-1803-105.pdf#page=5","Abrir facsímil")</f>
        <v>Abrir facsímil</v>
      </c>
      <c r="K1426" s="15" t="s">
        <v>23</v>
      </c>
    </row>
    <row r="1427" spans="1:11" ht="42" customHeight="1">
      <c r="A1427" s="4" t="s">
        <v>3768</v>
      </c>
      <c r="B1427" s="5" t="s">
        <v>3769</v>
      </c>
      <c r="C1427" s="5" t="s">
        <v>51</v>
      </c>
      <c r="D1427" s="5" t="s">
        <v>52</v>
      </c>
      <c r="E1427" s="5" t="s">
        <v>395</v>
      </c>
      <c r="F1427" s="9">
        <v>13</v>
      </c>
      <c r="G1427" s="9">
        <v>136</v>
      </c>
      <c r="H1427" s="5" t="s">
        <v>21</v>
      </c>
      <c r="I1427" s="5" t="s">
        <v>3770</v>
      </c>
      <c r="J1427" s="12" t="str">
        <f>HYPERLINK("https://www.boe.es/gazeta/dias/1803/02/15/pdfs/GMD-1803-13.pdf#page=12","Abrir facsímil")</f>
        <v>Abrir facsímil</v>
      </c>
      <c r="K1427" s="15" t="s">
        <v>23</v>
      </c>
    </row>
    <row r="1428" spans="1:11" ht="42" customHeight="1">
      <c r="A1428" s="4" t="s">
        <v>3771</v>
      </c>
      <c r="B1428" s="5" t="s">
        <v>3772</v>
      </c>
      <c r="C1428" s="5" t="s">
        <v>26</v>
      </c>
      <c r="D1428" s="5" t="s">
        <v>27</v>
      </c>
      <c r="E1428" s="5" t="s">
        <v>109</v>
      </c>
      <c r="F1428" s="9">
        <v>102</v>
      </c>
      <c r="G1428" s="9">
        <v>1098</v>
      </c>
      <c r="H1428" s="5" t="s">
        <v>21</v>
      </c>
      <c r="I1428" s="5" t="s">
        <v>3773</v>
      </c>
      <c r="J1428" s="12" t="str">
        <f>HYPERLINK("https://www.boe.es/gazeta/dias/1803/12/20/pdfs/GMD-1803-102.pdf#page=10","Abrir facsímil")</f>
        <v>Abrir facsímil</v>
      </c>
      <c r="K1428" s="15" t="s">
        <v>23</v>
      </c>
    </row>
    <row r="1429" spans="1:11" ht="42" customHeight="1">
      <c r="A1429" s="4" t="s">
        <v>3774</v>
      </c>
      <c r="B1429" s="5" t="s">
        <v>3775</v>
      </c>
      <c r="C1429" s="5" t="s">
        <v>26</v>
      </c>
      <c r="D1429" s="5" t="s">
        <v>27</v>
      </c>
      <c r="E1429" s="5" t="s">
        <v>571</v>
      </c>
      <c r="F1429" s="9">
        <v>103</v>
      </c>
      <c r="G1429" s="9">
        <v>1106</v>
      </c>
      <c r="H1429" s="5" t="s">
        <v>21</v>
      </c>
      <c r="I1429" s="5" t="s">
        <v>3776</v>
      </c>
      <c r="J1429" s="12" t="str">
        <f>HYPERLINK("https://www.boe.es/gazeta/dias/1803/12/23/pdfs/GMD-1803-103.pdf#page=6","Abrir facsímil")</f>
        <v>Abrir facsímil</v>
      </c>
      <c r="K1429" s="15" t="s">
        <v>23</v>
      </c>
    </row>
    <row r="1430" spans="1:11" ht="42" customHeight="1">
      <c r="A1430" s="4" t="s">
        <v>3777</v>
      </c>
      <c r="B1430" s="5" t="s">
        <v>3778</v>
      </c>
      <c r="C1430" s="5" t="s">
        <v>26</v>
      </c>
      <c r="D1430" s="5" t="s">
        <v>27</v>
      </c>
      <c r="E1430" s="5" t="s">
        <v>795</v>
      </c>
      <c r="F1430" s="9">
        <v>98</v>
      </c>
      <c r="G1430" s="9">
        <v>1052</v>
      </c>
      <c r="H1430" s="5" t="s">
        <v>21</v>
      </c>
      <c r="I1430" s="5" t="s">
        <v>3779</v>
      </c>
      <c r="J1430" s="12" t="str">
        <f>HYPERLINK("https://www.boe.es/gazeta/dias/1803/12/06/pdfs/GMD-1803-98.pdf#page=8","Abrir facsímil")</f>
        <v>Abrir facsímil</v>
      </c>
      <c r="K1430" s="15" t="s">
        <v>23</v>
      </c>
    </row>
    <row r="1431" spans="1:11" ht="42" customHeight="1">
      <c r="A1431" s="4" t="s">
        <v>3780</v>
      </c>
      <c r="B1431" s="5" t="s">
        <v>3781</v>
      </c>
      <c r="C1431" s="5" t="s">
        <v>26</v>
      </c>
      <c r="D1431" s="5" t="s">
        <v>27</v>
      </c>
      <c r="E1431" s="5" t="s">
        <v>501</v>
      </c>
      <c r="F1431" s="9">
        <v>22</v>
      </c>
      <c r="G1431" s="9">
        <v>238</v>
      </c>
      <c r="H1431" s="5" t="s">
        <v>21</v>
      </c>
      <c r="I1431" s="5" t="s">
        <v>3782</v>
      </c>
      <c r="J1431" s="12" t="str">
        <f>HYPERLINK("https://www.boe.es/gazeta/dias/1803/03/18/pdfs/GMD-1803-22.pdf#page=10","Abrir facsímil")</f>
        <v>Abrir facsímil</v>
      </c>
      <c r="K1431" s="15" t="s">
        <v>23</v>
      </c>
    </row>
    <row r="1432" spans="1:11" ht="42" customHeight="1">
      <c r="A1432" s="4" t="s">
        <v>3783</v>
      </c>
      <c r="B1432" s="5" t="s">
        <v>3784</v>
      </c>
      <c r="C1432" s="5" t="s">
        <v>46</v>
      </c>
      <c r="D1432" s="5" t="s">
        <v>19</v>
      </c>
      <c r="E1432" s="5" t="s">
        <v>795</v>
      </c>
      <c r="F1432" s="9">
        <v>98</v>
      </c>
      <c r="G1432" s="9">
        <v>1052</v>
      </c>
      <c r="H1432" s="5" t="s">
        <v>21</v>
      </c>
      <c r="I1432" s="5" t="s">
        <v>3785</v>
      </c>
      <c r="J1432" s="12" t="str">
        <f>HYPERLINK("https://www.boe.es/gazeta/dias/1803/12/06/pdfs/GMD-1803-98.pdf#page=8","Abrir facsímil")</f>
        <v>Abrir facsímil</v>
      </c>
      <c r="K1432" s="15" t="s">
        <v>23</v>
      </c>
    </row>
    <row r="1433" spans="1:11" ht="42" customHeight="1">
      <c r="A1433" s="4" t="s">
        <v>3786</v>
      </c>
      <c r="B1433" s="5" t="s">
        <v>3787</v>
      </c>
      <c r="C1433" s="5" t="s">
        <v>26</v>
      </c>
      <c r="D1433" s="5" t="s">
        <v>27</v>
      </c>
      <c r="E1433" s="5" t="s">
        <v>395</v>
      </c>
      <c r="F1433" s="9">
        <v>13</v>
      </c>
      <c r="G1433" s="9">
        <v>134</v>
      </c>
      <c r="H1433" s="5" t="s">
        <v>21</v>
      </c>
      <c r="I1433" s="5" t="s">
        <v>3788</v>
      </c>
      <c r="J1433" s="12" t="str">
        <f>HYPERLINK("https://www.boe.es/gazeta/dias/1803/02/15/pdfs/GMD-1803-13.pdf#page=10","Abrir facsímil")</f>
        <v>Abrir facsímil</v>
      </c>
      <c r="K1433" s="15" t="s">
        <v>23</v>
      </c>
    </row>
    <row r="1434" spans="1:11" ht="42" customHeight="1">
      <c r="A1434" s="4" t="s">
        <v>3789</v>
      </c>
      <c r="B1434" s="5" t="s">
        <v>3790</v>
      </c>
      <c r="C1434" s="5" t="s">
        <v>51</v>
      </c>
      <c r="D1434" s="5" t="s">
        <v>52</v>
      </c>
      <c r="E1434" s="5" t="s">
        <v>189</v>
      </c>
      <c r="F1434" s="9">
        <v>9</v>
      </c>
      <c r="G1434" s="9">
        <v>93</v>
      </c>
      <c r="H1434" s="5" t="s">
        <v>21</v>
      </c>
      <c r="I1434" s="5" t="s">
        <v>3791</v>
      </c>
      <c r="J1434" s="12" t="str">
        <f>HYPERLINK("https://www.boe.es/gazeta/dias/1803/02/01/pdfs/GMD-1803-9.pdf#page=9","Abrir facsímil")</f>
        <v>Abrir facsímil</v>
      </c>
      <c r="K1434" s="15" t="s">
        <v>23</v>
      </c>
    </row>
    <row r="1435" spans="1:11" ht="42" customHeight="1">
      <c r="A1435" s="4" t="s">
        <v>3792</v>
      </c>
      <c r="B1435" s="5" t="s">
        <v>3793</v>
      </c>
      <c r="C1435" s="5" t="s">
        <v>80</v>
      </c>
      <c r="D1435" s="5" t="s">
        <v>81</v>
      </c>
      <c r="E1435" s="5" t="s">
        <v>657</v>
      </c>
      <c r="F1435" s="9">
        <v>24</v>
      </c>
      <c r="G1435" s="9">
        <v>259</v>
      </c>
      <c r="H1435" s="5" t="s">
        <v>21</v>
      </c>
      <c r="I1435" s="5" t="s">
        <v>3794</v>
      </c>
      <c r="J1435" s="12" t="str">
        <f>HYPERLINK("https://www.boe.es/gazeta/dias/1803/03/25/pdfs/GMD-1803-24.pdf#page=11","Abrir facsímil")</f>
        <v>Abrir facsímil</v>
      </c>
      <c r="K1435" s="15" t="s">
        <v>23</v>
      </c>
    </row>
    <row r="1436" spans="1:11" ht="42" customHeight="1">
      <c r="A1436" s="4" t="s">
        <v>3795</v>
      </c>
      <c r="B1436" s="5" t="s">
        <v>3796</v>
      </c>
      <c r="C1436" s="5" t="s">
        <v>26</v>
      </c>
      <c r="D1436" s="5" t="s">
        <v>27</v>
      </c>
      <c r="E1436" s="5" t="s">
        <v>256</v>
      </c>
      <c r="F1436" s="9">
        <v>1</v>
      </c>
      <c r="G1436" s="9">
        <v>7</v>
      </c>
      <c r="H1436" s="5" t="s">
        <v>21</v>
      </c>
      <c r="I1436" s="5" t="s">
        <v>3797</v>
      </c>
      <c r="J1436" s="12" t="str">
        <f>HYPERLINK("https://www.boe.es/gazeta/dias/1803/01/04/pdfs/GMD-1803-1.pdf#page=7","Abrir facsímil")</f>
        <v>Abrir facsímil</v>
      </c>
      <c r="K1436" s="15" t="s">
        <v>23</v>
      </c>
    </row>
    <row r="1437" spans="1:11" ht="42" customHeight="1">
      <c r="A1437" s="4" t="s">
        <v>3798</v>
      </c>
      <c r="B1437" s="5" t="s">
        <v>3799</v>
      </c>
      <c r="C1437" s="5" t="s">
        <v>26</v>
      </c>
      <c r="D1437" s="5" t="s">
        <v>27</v>
      </c>
      <c r="E1437" s="5" t="s">
        <v>138</v>
      </c>
      <c r="F1437" s="9">
        <v>68</v>
      </c>
      <c r="G1437" s="9">
        <v>743</v>
      </c>
      <c r="H1437" s="5" t="s">
        <v>21</v>
      </c>
      <c r="I1437" s="5" t="s">
        <v>3800</v>
      </c>
      <c r="J1437" s="12" t="str">
        <f>HYPERLINK("https://www.boe.es/gazeta/dias/1803/08/26/pdfs/GMD-1803-68.pdf#page=11","Abrir facsímil")</f>
        <v>Abrir facsímil</v>
      </c>
      <c r="K1437" s="15" t="s">
        <v>23</v>
      </c>
    </row>
    <row r="1438" spans="1:11" ht="42" customHeight="1">
      <c r="A1438" s="4" t="s">
        <v>3801</v>
      </c>
      <c r="B1438" s="5" t="s">
        <v>3802</v>
      </c>
      <c r="C1438" s="5" t="s">
        <v>26</v>
      </c>
      <c r="D1438" s="5" t="s">
        <v>27</v>
      </c>
      <c r="E1438" s="5" t="s">
        <v>148</v>
      </c>
      <c r="F1438" s="9">
        <v>15</v>
      </c>
      <c r="G1438" s="9">
        <v>156</v>
      </c>
      <c r="H1438" s="5" t="s">
        <v>21</v>
      </c>
      <c r="I1438" s="5" t="s">
        <v>3803</v>
      </c>
      <c r="J1438" s="12" t="str">
        <f>HYPERLINK("https://www.boe.es/gazeta/dias/1803/02/22/pdfs/GMD-1803-15.pdf#page=8","Abrir facsímil")</f>
        <v>Abrir facsímil</v>
      </c>
      <c r="K1438" s="15" t="s">
        <v>23</v>
      </c>
    </row>
    <row r="1439" spans="1:11" ht="42" customHeight="1">
      <c r="A1439" s="4" t="s">
        <v>3804</v>
      </c>
      <c r="B1439" s="5" t="s">
        <v>3805</v>
      </c>
      <c r="C1439" s="5" t="s">
        <v>51</v>
      </c>
      <c r="D1439" s="5" t="s">
        <v>52</v>
      </c>
      <c r="E1439" s="5" t="s">
        <v>882</v>
      </c>
      <c r="F1439" s="9">
        <v>60</v>
      </c>
      <c r="G1439" s="9">
        <v>656</v>
      </c>
      <c r="H1439" s="5" t="s">
        <v>21</v>
      </c>
      <c r="I1439" s="5" t="s">
        <v>3806</v>
      </c>
      <c r="J1439" s="12" t="str">
        <f>HYPERLINK("https://www.boe.es/gazeta/dias/1803/07/29/pdfs/GMD-1803-60.pdf#page=8","Abrir facsímil")</f>
        <v>Abrir facsímil</v>
      </c>
      <c r="K1439" s="15" t="s">
        <v>23</v>
      </c>
    </row>
    <row r="1440" spans="1:11" ht="42" customHeight="1">
      <c r="A1440" s="4" t="s">
        <v>3807</v>
      </c>
      <c r="B1440" s="5" t="s">
        <v>3808</v>
      </c>
      <c r="C1440" s="5" t="s">
        <v>40</v>
      </c>
      <c r="D1440" s="5" t="s">
        <v>41</v>
      </c>
      <c r="E1440" s="5" t="s">
        <v>303</v>
      </c>
      <c r="F1440" s="9">
        <v>8</v>
      </c>
      <c r="G1440" s="9">
        <v>75</v>
      </c>
      <c r="H1440" s="5" t="s">
        <v>21</v>
      </c>
      <c r="I1440" s="5" t="s">
        <v>3809</v>
      </c>
      <c r="J1440" s="12" t="str">
        <f>HYPERLINK("https://www.boe.es/gazeta/dias/1803/01/28/pdfs/GMD-1803-8.pdf#page=3","Abrir facsímil")</f>
        <v>Abrir facsímil</v>
      </c>
      <c r="K1440" s="15" t="s">
        <v>23</v>
      </c>
    </row>
    <row r="1441" spans="1:11" ht="42" customHeight="1">
      <c r="A1441" s="4" t="s">
        <v>3810</v>
      </c>
      <c r="B1441" s="5" t="s">
        <v>3811</v>
      </c>
      <c r="C1441" s="5" t="s">
        <v>26</v>
      </c>
      <c r="D1441" s="5" t="s">
        <v>27</v>
      </c>
      <c r="E1441" s="5" t="s">
        <v>289</v>
      </c>
      <c r="F1441" s="9">
        <v>38</v>
      </c>
      <c r="G1441" s="9">
        <v>402</v>
      </c>
      <c r="H1441" s="5" t="s">
        <v>21</v>
      </c>
      <c r="I1441" s="5" t="s">
        <v>3812</v>
      </c>
      <c r="J1441" s="12" t="str">
        <f>HYPERLINK("https://www.boe.es/gazeta/dias/1803/05/13/pdfs/GMD-1803-38.pdf#page=10","Abrir facsímil")</f>
        <v>Abrir facsímil</v>
      </c>
      <c r="K1441" s="15" t="s">
        <v>23</v>
      </c>
    </row>
    <row r="1442" spans="1:11" ht="42" customHeight="1">
      <c r="A1442" s="4" t="s">
        <v>3813</v>
      </c>
      <c r="B1442" s="5" t="s">
        <v>3814</v>
      </c>
      <c r="C1442" s="5" t="s">
        <v>40</v>
      </c>
      <c r="D1442" s="5" t="s">
        <v>41</v>
      </c>
      <c r="E1442" s="5" t="s">
        <v>117</v>
      </c>
      <c r="F1442" s="9">
        <v>59</v>
      </c>
      <c r="G1442" s="9">
        <v>641</v>
      </c>
      <c r="H1442" s="5" t="s">
        <v>21</v>
      </c>
      <c r="I1442" s="5" t="s">
        <v>3815</v>
      </c>
      <c r="J1442" s="12" t="str">
        <f>HYPERLINK("https://www.boe.es/gazeta/dias/1803/07/26/pdfs/GMD-1803-59.pdf#page=1","Abrir facsímil")</f>
        <v>Abrir facsímil</v>
      </c>
      <c r="K1442" s="15" t="s">
        <v>23</v>
      </c>
    </row>
    <row r="1443" spans="1:11" ht="42" customHeight="1">
      <c r="A1443" s="4" t="s">
        <v>3816</v>
      </c>
      <c r="B1443" s="5" t="s">
        <v>3817</v>
      </c>
      <c r="C1443" s="5" t="s">
        <v>46</v>
      </c>
      <c r="D1443" s="5" t="s">
        <v>19</v>
      </c>
      <c r="E1443" s="5" t="s">
        <v>1279</v>
      </c>
      <c r="F1443" s="9">
        <v>3</v>
      </c>
      <c r="G1443" s="9">
        <v>28</v>
      </c>
      <c r="H1443" s="5" t="s">
        <v>21</v>
      </c>
      <c r="I1443" s="5" t="s">
        <v>3818</v>
      </c>
      <c r="J1443" s="12" t="str">
        <f>HYPERLINK("https://www.boe.es/gazeta/dias/1803/01/11/pdfs/GMD-1803-3.pdf#page=8","Abrir facsímil")</f>
        <v>Abrir facsímil</v>
      </c>
      <c r="K1443" s="15" t="s">
        <v>23</v>
      </c>
    </row>
    <row r="1444" spans="1:11" ht="42" customHeight="1">
      <c r="A1444" s="4" t="s">
        <v>3819</v>
      </c>
      <c r="B1444" s="5" t="s">
        <v>3820</v>
      </c>
      <c r="C1444" s="5" t="s">
        <v>46</v>
      </c>
      <c r="D1444" s="5" t="s">
        <v>19</v>
      </c>
      <c r="E1444" s="5" t="s">
        <v>300</v>
      </c>
      <c r="F1444" s="9">
        <v>96</v>
      </c>
      <c r="G1444" s="9">
        <v>1036</v>
      </c>
      <c r="H1444" s="5" t="s">
        <v>21</v>
      </c>
      <c r="I1444" s="5" t="s">
        <v>3821</v>
      </c>
      <c r="J1444" s="12" t="str">
        <f>HYPERLINK("https://www.boe.es/gazeta/dias/1803/11/29/pdfs/GMD-1803-96.pdf#page=12","Abrir facsímil")</f>
        <v>Abrir facsímil</v>
      </c>
      <c r="K1444" s="15" t="s">
        <v>23</v>
      </c>
    </row>
    <row r="1445" spans="1:11" ht="42" customHeight="1">
      <c r="A1445" s="4" t="s">
        <v>3822</v>
      </c>
      <c r="B1445" s="5" t="s">
        <v>3823</v>
      </c>
      <c r="C1445" s="5" t="s">
        <v>26</v>
      </c>
      <c r="D1445" s="5" t="s">
        <v>27</v>
      </c>
      <c r="E1445" s="5" t="s">
        <v>303</v>
      </c>
      <c r="F1445" s="9">
        <v>8</v>
      </c>
      <c r="G1445" s="9">
        <v>79</v>
      </c>
      <c r="H1445" s="5" t="s">
        <v>21</v>
      </c>
      <c r="I1445" s="5" t="s">
        <v>3824</v>
      </c>
      <c r="J1445" s="12" t="str">
        <f>HYPERLINK("https://www.boe.es/gazeta/dias/1803/01/28/pdfs/GMD-1803-8.pdf#page=7","Abrir facsímil")</f>
        <v>Abrir facsímil</v>
      </c>
      <c r="K1445" s="15" t="s">
        <v>23</v>
      </c>
    </row>
    <row r="1446" spans="1:11" ht="42" customHeight="1">
      <c r="A1446" s="4" t="s">
        <v>3825</v>
      </c>
      <c r="B1446" s="5" t="s">
        <v>3826</v>
      </c>
      <c r="C1446" s="5" t="s">
        <v>80</v>
      </c>
      <c r="D1446" s="5" t="s">
        <v>81</v>
      </c>
      <c r="E1446" s="5" t="s">
        <v>272</v>
      </c>
      <c r="F1446" s="9">
        <v>25</v>
      </c>
      <c r="G1446" s="9">
        <v>268</v>
      </c>
      <c r="H1446" s="5" t="s">
        <v>21</v>
      </c>
      <c r="I1446" s="5" t="s">
        <v>3827</v>
      </c>
      <c r="J1446" s="12" t="str">
        <f>HYPERLINK("https://www.boe.es/gazeta/dias/1803/03/29/pdfs/GMD-1803-25.pdf#page=8","Abrir facsímil")</f>
        <v>Abrir facsímil</v>
      </c>
      <c r="K1446" s="15" t="s">
        <v>23</v>
      </c>
    </row>
    <row r="1447" spans="1:11" ht="42" customHeight="1">
      <c r="A1447" s="4" t="s">
        <v>3828</v>
      </c>
      <c r="B1447" s="5" t="s">
        <v>3829</v>
      </c>
      <c r="C1447" s="5" t="s">
        <v>51</v>
      </c>
      <c r="D1447" s="5" t="s">
        <v>52</v>
      </c>
      <c r="E1447" s="5" t="s">
        <v>36</v>
      </c>
      <c r="F1447" s="9">
        <v>79</v>
      </c>
      <c r="G1447" s="9">
        <v>856</v>
      </c>
      <c r="H1447" s="5" t="s">
        <v>21</v>
      </c>
      <c r="I1447" s="5" t="s">
        <v>3830</v>
      </c>
      <c r="J1447" s="12" t="str">
        <f>HYPERLINK("https://www.boe.es/gazeta/dias/1803/09/30/pdfs/GMD-1803-79.pdf#page=8","Abrir facsímil")</f>
        <v>Abrir facsímil</v>
      </c>
      <c r="K1447" s="15" t="s">
        <v>23</v>
      </c>
    </row>
    <row r="1448" spans="1:11" ht="42" customHeight="1">
      <c r="A1448" s="4" t="s">
        <v>3831</v>
      </c>
      <c r="B1448" s="5" t="s">
        <v>3832</v>
      </c>
      <c r="C1448" s="5" t="s">
        <v>18</v>
      </c>
      <c r="D1448" s="5" t="s">
        <v>19</v>
      </c>
      <c r="E1448" s="5" t="s">
        <v>439</v>
      </c>
      <c r="F1448" s="9">
        <v>76</v>
      </c>
      <c r="G1448" s="9">
        <v>823</v>
      </c>
      <c r="H1448" s="5" t="s">
        <v>21</v>
      </c>
      <c r="I1448" s="5" t="s">
        <v>3833</v>
      </c>
      <c r="J1448" s="12" t="str">
        <f>HYPERLINK("https://www.boe.es/gazeta/dias/1803/09/20/pdfs/GMD-1803-76.pdf#page=11","Abrir facsímil")</f>
        <v>Abrir facsímil</v>
      </c>
      <c r="K1448" s="15" t="s">
        <v>23</v>
      </c>
    </row>
    <row r="1449" spans="1:11" ht="42" customHeight="1">
      <c r="A1449" s="4" t="s">
        <v>3834</v>
      </c>
      <c r="B1449" s="5" t="s">
        <v>3835</v>
      </c>
      <c r="C1449" s="5" t="s">
        <v>26</v>
      </c>
      <c r="D1449" s="5" t="s">
        <v>27</v>
      </c>
      <c r="E1449" s="5" t="s">
        <v>882</v>
      </c>
      <c r="F1449" s="9">
        <v>60</v>
      </c>
      <c r="G1449" s="9">
        <v>657</v>
      </c>
      <c r="H1449" s="5" t="s">
        <v>21</v>
      </c>
      <c r="I1449" s="5" t="s">
        <v>3836</v>
      </c>
      <c r="J1449" s="12" t="str">
        <f>HYPERLINK("https://www.boe.es/gazeta/dias/1803/07/29/pdfs/GMD-1803-60.pdf#page=9","Abrir facsímil")</f>
        <v>Abrir facsímil</v>
      </c>
      <c r="K1449" s="15" t="s">
        <v>23</v>
      </c>
    </row>
    <row r="1450" spans="1:11" ht="42" customHeight="1">
      <c r="A1450" s="4" t="s">
        <v>3837</v>
      </c>
      <c r="B1450" s="5" t="s">
        <v>3838</v>
      </c>
      <c r="C1450" s="5" t="s">
        <v>26</v>
      </c>
      <c r="D1450" s="5" t="s">
        <v>27</v>
      </c>
      <c r="E1450" s="5" t="s">
        <v>919</v>
      </c>
      <c r="F1450" s="9">
        <v>69</v>
      </c>
      <c r="G1450" s="9">
        <v>750</v>
      </c>
      <c r="H1450" s="5" t="s">
        <v>21</v>
      </c>
      <c r="I1450" s="5" t="s">
        <v>3839</v>
      </c>
      <c r="J1450" s="12" t="str">
        <f>HYPERLINK("https://www.boe.es/gazeta/dias/1803/08/30/pdfs/GMD-1803-69.pdf#page=6","Abrir facsímil")</f>
        <v>Abrir facsímil</v>
      </c>
      <c r="K1450" s="15" t="s">
        <v>23</v>
      </c>
    </row>
    <row r="1451" spans="1:11" ht="42" customHeight="1">
      <c r="A1451" s="4" t="s">
        <v>3840</v>
      </c>
      <c r="B1451" s="5" t="s">
        <v>3841</v>
      </c>
      <c r="C1451" s="5" t="s">
        <v>18</v>
      </c>
      <c r="D1451" s="5" t="s">
        <v>19</v>
      </c>
      <c r="E1451" s="5" t="s">
        <v>85</v>
      </c>
      <c r="F1451" s="9">
        <v>49</v>
      </c>
      <c r="G1451" s="9">
        <v>522</v>
      </c>
      <c r="H1451" s="5" t="s">
        <v>21</v>
      </c>
      <c r="I1451" s="5" t="s">
        <v>3842</v>
      </c>
      <c r="J1451" s="12" t="str">
        <f>HYPERLINK("https://www.boe.es/gazeta/dias/1803/06/21/pdfs/GMD-1803-49.pdf#page=10","Abrir facsímil")</f>
        <v>Abrir facsímil</v>
      </c>
      <c r="K1451" s="15" t="s">
        <v>23</v>
      </c>
    </row>
    <row r="1452" spans="1:11" ht="42" customHeight="1">
      <c r="A1452" s="4" t="s">
        <v>3843</v>
      </c>
      <c r="B1452" s="5" t="s">
        <v>3844</v>
      </c>
      <c r="C1452" s="5" t="s">
        <v>26</v>
      </c>
      <c r="D1452" s="5" t="s">
        <v>27</v>
      </c>
      <c r="E1452" s="5" t="s">
        <v>289</v>
      </c>
      <c r="F1452" s="9">
        <v>38</v>
      </c>
      <c r="G1452" s="9">
        <v>401</v>
      </c>
      <c r="H1452" s="5" t="s">
        <v>21</v>
      </c>
      <c r="I1452" s="5" t="s">
        <v>3845</v>
      </c>
      <c r="J1452" s="12" t="str">
        <f>HYPERLINK("https://www.boe.es/gazeta/dias/1803/05/13/pdfs/GMD-1803-38.pdf#page=9","Abrir facsímil")</f>
        <v>Abrir facsímil</v>
      </c>
      <c r="K1452" s="15" t="s">
        <v>23</v>
      </c>
    </row>
    <row r="1453" spans="1:11" ht="42" customHeight="1">
      <c r="A1453" s="4" t="s">
        <v>3846</v>
      </c>
      <c r="B1453" s="5" t="s">
        <v>3847</v>
      </c>
      <c r="C1453" s="5" t="s">
        <v>80</v>
      </c>
      <c r="D1453" s="5" t="s">
        <v>81</v>
      </c>
      <c r="E1453" s="5" t="s">
        <v>88</v>
      </c>
      <c r="F1453" s="9">
        <v>18</v>
      </c>
      <c r="G1453" s="9">
        <v>184</v>
      </c>
      <c r="H1453" s="5" t="s">
        <v>21</v>
      </c>
      <c r="I1453" s="5" t="s">
        <v>3848</v>
      </c>
      <c r="J1453" s="12" t="str">
        <f>HYPERLINK("https://www.boe.es/gazeta/dias/1803/03/04/pdfs/GMD-1803-18.pdf#page=4","Abrir facsímil")</f>
        <v>Abrir facsímil</v>
      </c>
      <c r="K1453" s="15" t="s">
        <v>23</v>
      </c>
    </row>
    <row r="1454" spans="1:11" ht="42" customHeight="1">
      <c r="A1454" s="4" t="s">
        <v>3849</v>
      </c>
      <c r="B1454" s="5" t="s">
        <v>3849</v>
      </c>
      <c r="C1454" s="5" t="s">
        <v>40</v>
      </c>
      <c r="D1454" s="5" t="s">
        <v>41</v>
      </c>
      <c r="E1454" s="5" t="s">
        <v>609</v>
      </c>
      <c r="F1454" s="9">
        <v>57</v>
      </c>
      <c r="G1454" s="9">
        <v>616</v>
      </c>
      <c r="H1454" s="5" t="s">
        <v>21</v>
      </c>
      <c r="I1454" s="5" t="s">
        <v>3850</v>
      </c>
      <c r="J1454" s="12" t="str">
        <f>HYPERLINK("https://www.boe.es/gazeta/dias/1803/07/19/pdfs/GMD-1803-57.pdf#page=4","Abrir facsímil")</f>
        <v>Abrir facsímil</v>
      </c>
      <c r="K1454" s="15" t="s">
        <v>23</v>
      </c>
    </row>
    <row r="1455" spans="1:11" ht="42" customHeight="1">
      <c r="A1455" s="4" t="s">
        <v>3851</v>
      </c>
      <c r="B1455" s="5" t="s">
        <v>3851</v>
      </c>
      <c r="C1455" s="5" t="s">
        <v>26</v>
      </c>
      <c r="D1455" s="5" t="s">
        <v>27</v>
      </c>
      <c r="E1455" s="5" t="s">
        <v>32</v>
      </c>
      <c r="F1455" s="9">
        <v>74</v>
      </c>
      <c r="G1455" s="9">
        <v>802</v>
      </c>
      <c r="H1455" s="5" t="s">
        <v>21</v>
      </c>
      <c r="I1455" s="5" t="s">
        <v>3852</v>
      </c>
      <c r="J1455" s="12" t="str">
        <f>HYPERLINK("https://www.boe.es/gazeta/dias/1803/09/13/pdfs/GMD-1803-74.pdf#page=6","Abrir facsímil")</f>
        <v>Abrir facsímil</v>
      </c>
      <c r="K1455" s="15" t="s">
        <v>23</v>
      </c>
    </row>
    <row r="1456" spans="1:11" ht="42" customHeight="1">
      <c r="A1456" s="4" t="s">
        <v>3853</v>
      </c>
      <c r="B1456" s="5" t="s">
        <v>3854</v>
      </c>
      <c r="C1456" s="5" t="s">
        <v>80</v>
      </c>
      <c r="D1456" s="5" t="s">
        <v>81</v>
      </c>
      <c r="E1456" s="5" t="s">
        <v>203</v>
      </c>
      <c r="F1456" s="9">
        <v>32</v>
      </c>
      <c r="G1456" s="9">
        <v>330</v>
      </c>
      <c r="H1456" s="5" t="s">
        <v>21</v>
      </c>
      <c r="I1456" s="5" t="s">
        <v>3855</v>
      </c>
      <c r="J1456" s="12" t="str">
        <f>HYPERLINK("https://www.boe.es/gazeta/dias/1803/04/22/pdfs/GMD-1803-32.pdf#page=2","Abrir facsímil")</f>
        <v>Abrir facsímil</v>
      </c>
      <c r="K1456" s="15" t="s">
        <v>23</v>
      </c>
    </row>
    <row r="1457" spans="1:11" ht="42" customHeight="1">
      <c r="A1457" s="4" t="s">
        <v>3856</v>
      </c>
      <c r="B1457" s="5" t="s">
        <v>3857</v>
      </c>
      <c r="C1457" s="5" t="s">
        <v>40</v>
      </c>
      <c r="D1457" s="5" t="s">
        <v>41</v>
      </c>
      <c r="E1457" s="5" t="s">
        <v>132</v>
      </c>
      <c r="F1457" s="9">
        <v>58</v>
      </c>
      <c r="G1457" s="9">
        <v>639</v>
      </c>
      <c r="H1457" s="5" t="s">
        <v>21</v>
      </c>
      <c r="I1457" s="5" t="s">
        <v>3858</v>
      </c>
      <c r="J1457" s="12" t="str">
        <f>HYPERLINK("https://www.boe.es/gazeta/dias/1803/07/22/pdfs/GMD-1803-58.pdf#page=11","Abrir facsímil")</f>
        <v>Abrir facsímil</v>
      </c>
      <c r="K1457" s="15" t="s">
        <v>23</v>
      </c>
    </row>
    <row r="1458" spans="1:11" ht="42" customHeight="1">
      <c r="A1458" s="4" t="s">
        <v>3859</v>
      </c>
      <c r="B1458" s="5" t="s">
        <v>3860</v>
      </c>
      <c r="C1458" s="5" t="s">
        <v>26</v>
      </c>
      <c r="D1458" s="5" t="s">
        <v>27</v>
      </c>
      <c r="E1458" s="5" t="s">
        <v>555</v>
      </c>
      <c r="F1458" s="9">
        <v>83</v>
      </c>
      <c r="G1458" s="9">
        <v>894</v>
      </c>
      <c r="H1458" s="5" t="s">
        <v>21</v>
      </c>
      <c r="I1458" s="5" t="s">
        <v>3861</v>
      </c>
      <c r="J1458" s="12" t="str">
        <f>HYPERLINK("https://www.boe.es/gazeta/dias/1803/10/14/pdfs/GMD-1803-83.pdf#page=6","Abrir facsímil")</f>
        <v>Abrir facsímil</v>
      </c>
      <c r="K1458" s="15" t="s">
        <v>23</v>
      </c>
    </row>
    <row r="1459" spans="1:11" ht="42" customHeight="1">
      <c r="A1459" s="4" t="s">
        <v>3862</v>
      </c>
      <c r="B1459" s="5" t="s">
        <v>3863</v>
      </c>
      <c r="C1459" s="5" t="s">
        <v>26</v>
      </c>
      <c r="D1459" s="5" t="s">
        <v>27</v>
      </c>
      <c r="E1459" s="5" t="s">
        <v>493</v>
      </c>
      <c r="F1459" s="9">
        <v>104</v>
      </c>
      <c r="G1459" s="9">
        <v>1114</v>
      </c>
      <c r="H1459" s="5" t="s">
        <v>21</v>
      </c>
      <c r="I1459" s="5" t="s">
        <v>3864</v>
      </c>
      <c r="J1459" s="12" t="str">
        <f>HYPERLINK("https://www.boe.es/gazeta/dias/1803/12/27/pdfs/GMD-1803-104.pdf#page=6","Abrir facsímil")</f>
        <v>Abrir facsímil</v>
      </c>
      <c r="K1459" s="15" t="s">
        <v>23</v>
      </c>
    </row>
    <row r="1460" spans="1:11" ht="42" customHeight="1">
      <c r="A1460" s="4" t="s">
        <v>3865</v>
      </c>
      <c r="B1460" s="5" t="s">
        <v>3866</v>
      </c>
      <c r="C1460" s="5" t="s">
        <v>51</v>
      </c>
      <c r="D1460" s="5" t="s">
        <v>52</v>
      </c>
      <c r="E1460" s="5" t="s">
        <v>726</v>
      </c>
      <c r="F1460" s="9">
        <v>78</v>
      </c>
      <c r="G1460" s="9">
        <v>847</v>
      </c>
      <c r="H1460" s="5" t="s">
        <v>21</v>
      </c>
      <c r="I1460" s="5" t="s">
        <v>3867</v>
      </c>
      <c r="J1460" s="12" t="str">
        <f>HYPERLINK("https://www.boe.es/gazeta/dias/1803/09/27/pdfs/GMD-1803-78.pdf#page=11","Abrir facsímil")</f>
        <v>Abrir facsímil</v>
      </c>
      <c r="K1460" s="15" t="s">
        <v>23</v>
      </c>
    </row>
    <row r="1461" spans="1:11" ht="42" customHeight="1">
      <c r="A1461" s="4" t="s">
        <v>3868</v>
      </c>
      <c r="B1461" s="5" t="s">
        <v>3869</v>
      </c>
      <c r="C1461" s="5" t="s">
        <v>51</v>
      </c>
      <c r="D1461" s="5" t="s">
        <v>52</v>
      </c>
      <c r="E1461" s="5" t="s">
        <v>152</v>
      </c>
      <c r="F1461" s="9">
        <v>16</v>
      </c>
      <c r="G1461" s="9">
        <v>166</v>
      </c>
      <c r="H1461" s="5" t="s">
        <v>21</v>
      </c>
      <c r="I1461" s="5" t="s">
        <v>3870</v>
      </c>
      <c r="J1461" s="12" t="str">
        <f>HYPERLINK("https://www.boe.es/gazeta/dias/1803/02/25/pdfs/GMD-1803-16.pdf#page=6","Abrir facsímil")</f>
        <v>Abrir facsímil</v>
      </c>
      <c r="K1461" s="15" t="s">
        <v>23</v>
      </c>
    </row>
    <row r="1462" spans="1:11" ht="42" customHeight="1">
      <c r="A1462" s="4" t="s">
        <v>3871</v>
      </c>
      <c r="B1462" s="5" t="s">
        <v>3872</v>
      </c>
      <c r="C1462" s="5" t="s">
        <v>26</v>
      </c>
      <c r="D1462" s="5" t="s">
        <v>27</v>
      </c>
      <c r="E1462" s="5" t="s">
        <v>160</v>
      </c>
      <c r="F1462" s="9">
        <v>81</v>
      </c>
      <c r="G1462" s="9">
        <v>872</v>
      </c>
      <c r="H1462" s="5" t="s">
        <v>21</v>
      </c>
      <c r="I1462" s="5" t="s">
        <v>3873</v>
      </c>
      <c r="J1462" s="12" t="str">
        <f>HYPERLINK("https://www.boe.es/gazeta/dias/1803/10/07/pdfs/GMD-1803-81.pdf#page=8","Abrir facsímil")</f>
        <v>Abrir facsímil</v>
      </c>
      <c r="K1462" s="15" t="s">
        <v>23</v>
      </c>
    </row>
    <row r="1463" spans="1:11" ht="42" customHeight="1">
      <c r="A1463" s="4" t="s">
        <v>3874</v>
      </c>
      <c r="B1463" s="5" t="s">
        <v>3875</v>
      </c>
      <c r="C1463" s="5" t="s">
        <v>18</v>
      </c>
      <c r="D1463" s="5" t="s">
        <v>19</v>
      </c>
      <c r="E1463" s="5" t="s">
        <v>361</v>
      </c>
      <c r="F1463" s="9">
        <v>62</v>
      </c>
      <c r="G1463" s="9">
        <v>676</v>
      </c>
      <c r="H1463" s="5" t="s">
        <v>21</v>
      </c>
      <c r="I1463" s="5" t="s">
        <v>3876</v>
      </c>
      <c r="J1463" s="12" t="str">
        <f>HYPERLINK("https://www.boe.es/gazeta/dias/1803/08/05/pdfs/GMD-1803-62.pdf#page=8","Abrir facsímil")</f>
        <v>Abrir facsímil</v>
      </c>
      <c r="K1463" s="15" t="s">
        <v>23</v>
      </c>
    </row>
    <row r="1464" spans="1:11" ht="42" customHeight="1">
      <c r="A1464" s="4" t="s">
        <v>3877</v>
      </c>
      <c r="B1464" s="5" t="s">
        <v>3878</v>
      </c>
      <c r="C1464" s="5" t="s">
        <v>26</v>
      </c>
      <c r="D1464" s="5" t="s">
        <v>27</v>
      </c>
      <c r="E1464" s="5" t="s">
        <v>403</v>
      </c>
      <c r="F1464" s="9">
        <v>91</v>
      </c>
      <c r="G1464" s="9">
        <v>977</v>
      </c>
      <c r="H1464" s="5" t="s">
        <v>21</v>
      </c>
      <c r="I1464" s="5" t="s">
        <v>3879</v>
      </c>
      <c r="J1464" s="12" t="str">
        <f>HYPERLINK("https://www.boe.es/gazeta/dias/1803/11/11/pdfs/GMD-1803-91.pdf#page=9","Abrir facsímil")</f>
        <v>Abrir facsímil</v>
      </c>
      <c r="K1464" s="15" t="s">
        <v>23</v>
      </c>
    </row>
    <row r="1465" spans="1:11" ht="42" customHeight="1">
      <c r="A1465" s="4" t="s">
        <v>3880</v>
      </c>
      <c r="B1465" s="5" t="s">
        <v>3881</v>
      </c>
      <c r="C1465" s="5" t="s">
        <v>26</v>
      </c>
      <c r="D1465" s="5" t="s">
        <v>27</v>
      </c>
      <c r="E1465" s="5" t="s">
        <v>36</v>
      </c>
      <c r="F1465" s="9">
        <v>79</v>
      </c>
      <c r="G1465" s="9">
        <v>854</v>
      </c>
      <c r="H1465" s="5" t="s">
        <v>21</v>
      </c>
      <c r="I1465" s="5" t="s">
        <v>3882</v>
      </c>
      <c r="J1465" s="12" t="str">
        <f>HYPERLINK("https://www.boe.es/gazeta/dias/1803/09/30/pdfs/GMD-1803-79.pdf#page=6","Abrir facsímil")</f>
        <v>Abrir facsímil</v>
      </c>
      <c r="K1465" s="15" t="s">
        <v>23</v>
      </c>
    </row>
    <row r="1466" spans="1:11" ht="42" customHeight="1">
      <c r="A1466" s="4" t="s">
        <v>3883</v>
      </c>
      <c r="B1466" s="5" t="s">
        <v>3884</v>
      </c>
      <c r="C1466" s="5" t="s">
        <v>51</v>
      </c>
      <c r="D1466" s="5" t="s">
        <v>52</v>
      </c>
      <c r="E1466" s="5" t="s">
        <v>480</v>
      </c>
      <c r="F1466" s="9">
        <v>87</v>
      </c>
      <c r="G1466" s="9">
        <v>940</v>
      </c>
      <c r="H1466" s="5" t="s">
        <v>21</v>
      </c>
      <c r="I1466" s="5" t="s">
        <v>3885</v>
      </c>
      <c r="J1466" s="12" t="str">
        <f>HYPERLINK("https://www.boe.es/gazeta/dias/1803/10/28/pdfs/GMD-1803-87.pdf#page=8","Abrir facsímil")</f>
        <v>Abrir facsímil</v>
      </c>
      <c r="K1466" s="15" t="s">
        <v>23</v>
      </c>
    </row>
    <row r="1467" spans="1:11" ht="42" customHeight="1">
      <c r="A1467" s="4" t="s">
        <v>3886</v>
      </c>
      <c r="B1467" s="5" t="s">
        <v>3887</v>
      </c>
      <c r="C1467" s="5" t="s">
        <v>51</v>
      </c>
      <c r="D1467" s="5" t="s">
        <v>52</v>
      </c>
      <c r="E1467" s="5" t="s">
        <v>93</v>
      </c>
      <c r="F1467" s="9">
        <v>43</v>
      </c>
      <c r="G1467" s="9">
        <v>452</v>
      </c>
      <c r="H1467" s="5" t="s">
        <v>21</v>
      </c>
      <c r="I1467" s="5" t="s">
        <v>3888</v>
      </c>
      <c r="J1467" s="12" t="str">
        <f>HYPERLINK("https://www.boe.es/gazeta/dias/1803/05/31/pdfs/GMD-1803-43.pdf#page=12","Abrir facsímil")</f>
        <v>Abrir facsímil</v>
      </c>
      <c r="K1467" s="15" t="s">
        <v>23</v>
      </c>
    </row>
    <row r="1468" spans="1:11" ht="42" customHeight="1">
      <c r="A1468" s="4" t="s">
        <v>3889</v>
      </c>
      <c r="B1468" s="5" t="s">
        <v>3890</v>
      </c>
      <c r="C1468" s="5" t="s">
        <v>26</v>
      </c>
      <c r="D1468" s="5" t="s">
        <v>27</v>
      </c>
      <c r="E1468" s="5" t="s">
        <v>606</v>
      </c>
      <c r="F1468" s="9">
        <v>47</v>
      </c>
      <c r="G1468" s="9">
        <v>498</v>
      </c>
      <c r="H1468" s="5" t="s">
        <v>21</v>
      </c>
      <c r="I1468" s="5" t="s">
        <v>3891</v>
      </c>
      <c r="J1468" s="12" t="str">
        <f>HYPERLINK("https://www.boe.es/gazeta/dias/1803/06/14/pdfs/GMD-1803-47.pdf#page=10","Abrir facsímil")</f>
        <v>Abrir facsímil</v>
      </c>
      <c r="K1468" s="15" t="s">
        <v>23</v>
      </c>
    </row>
    <row r="1469" spans="1:11" ht="42" customHeight="1">
      <c r="A1469" s="4" t="s">
        <v>3892</v>
      </c>
      <c r="B1469" s="5" t="s">
        <v>3893</v>
      </c>
      <c r="C1469" s="5" t="s">
        <v>51</v>
      </c>
      <c r="D1469" s="5" t="s">
        <v>52</v>
      </c>
      <c r="E1469" s="5" t="s">
        <v>93</v>
      </c>
      <c r="F1469" s="9">
        <v>43</v>
      </c>
      <c r="G1469" s="9">
        <v>451</v>
      </c>
      <c r="H1469" s="5" t="s">
        <v>21</v>
      </c>
      <c r="I1469" s="5" t="s">
        <v>3894</v>
      </c>
      <c r="J1469" s="12" t="str">
        <f>HYPERLINK("https://www.boe.es/gazeta/dias/1803/05/31/pdfs/GMD-1803-43.pdf#page=11","Abrir facsímil")</f>
        <v>Abrir facsímil</v>
      </c>
      <c r="K1469" s="15" t="s">
        <v>23</v>
      </c>
    </row>
    <row r="1470" spans="1:11" ht="42" customHeight="1">
      <c r="A1470" s="4" t="s">
        <v>3895</v>
      </c>
      <c r="B1470" s="5" t="s">
        <v>3896</v>
      </c>
      <c r="C1470" s="5" t="s">
        <v>18</v>
      </c>
      <c r="D1470" s="5" t="s">
        <v>19</v>
      </c>
      <c r="E1470" s="5" t="s">
        <v>207</v>
      </c>
      <c r="F1470" s="9">
        <v>27</v>
      </c>
      <c r="G1470" s="9">
        <v>292</v>
      </c>
      <c r="H1470" s="5" t="s">
        <v>21</v>
      </c>
      <c r="I1470" s="5" t="s">
        <v>3897</v>
      </c>
      <c r="J1470" s="12" t="str">
        <f>HYPERLINK("https://www.boe.es/gazeta/dias/1803/04/05/pdfs/GMD-1803-27.pdf#page=8","Abrir facsímil")</f>
        <v>Abrir facsímil</v>
      </c>
      <c r="K1470" s="15" t="s">
        <v>23</v>
      </c>
    </row>
    <row r="1471" spans="1:11" ht="42" customHeight="1">
      <c r="A1471" s="4" t="s">
        <v>3898</v>
      </c>
      <c r="B1471" s="5" t="s">
        <v>3899</v>
      </c>
      <c r="C1471" s="5" t="s">
        <v>18</v>
      </c>
      <c r="D1471" s="5" t="s">
        <v>19</v>
      </c>
      <c r="E1471" s="5" t="s">
        <v>189</v>
      </c>
      <c r="F1471" s="9">
        <v>9</v>
      </c>
      <c r="G1471" s="9">
        <v>92</v>
      </c>
      <c r="H1471" s="5" t="s">
        <v>21</v>
      </c>
      <c r="I1471" s="5" t="s">
        <v>3900</v>
      </c>
      <c r="J1471" s="12" t="str">
        <f>HYPERLINK("https://www.boe.es/gazeta/dias/1803/02/01/pdfs/GMD-1803-9.pdf#page=8","Abrir facsímil")</f>
        <v>Abrir facsímil</v>
      </c>
      <c r="K1471" s="15" t="s">
        <v>23</v>
      </c>
    </row>
    <row r="1472" spans="1:11" ht="42" customHeight="1">
      <c r="A1472" s="4" t="s">
        <v>3901</v>
      </c>
      <c r="B1472" s="5" t="s">
        <v>3902</v>
      </c>
      <c r="C1472" s="5" t="s">
        <v>26</v>
      </c>
      <c r="D1472" s="5" t="s">
        <v>27</v>
      </c>
      <c r="E1472" s="5" t="s">
        <v>156</v>
      </c>
      <c r="F1472" s="9">
        <v>2</v>
      </c>
      <c r="G1472" s="9">
        <v>18</v>
      </c>
      <c r="H1472" s="5" t="s">
        <v>21</v>
      </c>
      <c r="I1472" s="5" t="s">
        <v>3903</v>
      </c>
      <c r="J1472" s="12" t="str">
        <f>HYPERLINK("https://www.boe.es/gazeta/dias/1803/01/07/pdfs/GMD-1803-2.pdf#page=10","Abrir facsímil")</f>
        <v>Abrir facsímil</v>
      </c>
      <c r="K1472" s="15" t="s">
        <v>23</v>
      </c>
    </row>
    <row r="1473" spans="1:11" ht="42" customHeight="1">
      <c r="A1473" s="4" t="s">
        <v>3904</v>
      </c>
      <c r="B1473" s="5" t="s">
        <v>3905</v>
      </c>
      <c r="C1473" s="5" t="s">
        <v>18</v>
      </c>
      <c r="D1473" s="5" t="s">
        <v>19</v>
      </c>
      <c r="E1473" s="5" t="s">
        <v>203</v>
      </c>
      <c r="F1473" s="9">
        <v>32</v>
      </c>
      <c r="G1473" s="9">
        <v>336</v>
      </c>
      <c r="H1473" s="5" t="s">
        <v>21</v>
      </c>
      <c r="I1473" s="5" t="s">
        <v>3906</v>
      </c>
      <c r="J1473" s="12" t="str">
        <f>HYPERLINK("https://www.boe.es/gazeta/dias/1803/04/22/pdfs/GMD-1803-32.pdf#page=8","Abrir facsímil")</f>
        <v>Abrir facsímil</v>
      </c>
      <c r="K1473" s="15" t="s">
        <v>23</v>
      </c>
    </row>
    <row r="1474" spans="1:11" ht="42" customHeight="1">
      <c r="A1474" s="4" t="s">
        <v>3907</v>
      </c>
      <c r="B1474" s="5" t="s">
        <v>3908</v>
      </c>
      <c r="C1474" s="5" t="s">
        <v>26</v>
      </c>
      <c r="D1474" s="5" t="s">
        <v>27</v>
      </c>
      <c r="E1474" s="5" t="s">
        <v>321</v>
      </c>
      <c r="F1474" s="9">
        <v>94</v>
      </c>
      <c r="G1474" s="9">
        <v>1010</v>
      </c>
      <c r="H1474" s="5" t="s">
        <v>21</v>
      </c>
      <c r="I1474" s="5" t="s">
        <v>3909</v>
      </c>
      <c r="J1474" s="12" t="str">
        <f>HYPERLINK("https://www.boe.es/gazeta/dias/1803/11/22/pdfs/GMD-1803-94.pdf#page=10","Abrir facsímil")</f>
        <v>Abrir facsímil</v>
      </c>
      <c r="K1474" s="15" t="s">
        <v>23</v>
      </c>
    </row>
    <row r="1475" spans="1:11" ht="42" customHeight="1">
      <c r="A1475" s="4" t="s">
        <v>3910</v>
      </c>
      <c r="B1475" s="5" t="s">
        <v>3911</v>
      </c>
      <c r="C1475" s="5" t="s">
        <v>18</v>
      </c>
      <c r="D1475" s="5" t="s">
        <v>19</v>
      </c>
      <c r="E1475" s="5" t="s">
        <v>109</v>
      </c>
      <c r="F1475" s="9">
        <v>102</v>
      </c>
      <c r="G1475" s="9">
        <v>1097</v>
      </c>
      <c r="H1475" s="5" t="s">
        <v>21</v>
      </c>
      <c r="I1475" s="5" t="s">
        <v>3912</v>
      </c>
      <c r="J1475" s="12" t="str">
        <f>HYPERLINK("https://www.boe.es/gazeta/dias/1803/12/20/pdfs/GMD-1803-102.pdf#page=9","Abrir facsímil")</f>
        <v>Abrir facsímil</v>
      </c>
      <c r="K1475" s="15" t="s">
        <v>23</v>
      </c>
    </row>
    <row r="1476" spans="1:11" ht="42" customHeight="1">
      <c r="A1476" s="4" t="s">
        <v>3913</v>
      </c>
      <c r="B1476" s="5" t="s">
        <v>3914</v>
      </c>
      <c r="C1476" s="5" t="s">
        <v>26</v>
      </c>
      <c r="D1476" s="5" t="s">
        <v>27</v>
      </c>
      <c r="E1476" s="5" t="s">
        <v>289</v>
      </c>
      <c r="F1476" s="9">
        <v>38</v>
      </c>
      <c r="G1476" s="9">
        <v>401</v>
      </c>
      <c r="H1476" s="5" t="s">
        <v>21</v>
      </c>
      <c r="I1476" s="5" t="s">
        <v>3915</v>
      </c>
      <c r="J1476" s="12" t="str">
        <f>HYPERLINK("https://www.boe.es/gazeta/dias/1803/05/13/pdfs/GMD-1803-38.pdf#page=9","Abrir facsímil")</f>
        <v>Abrir facsímil</v>
      </c>
      <c r="K1476" s="15" t="s">
        <v>23</v>
      </c>
    </row>
    <row r="1477" spans="1:11" ht="42" customHeight="1">
      <c r="A1477" s="4" t="s">
        <v>3916</v>
      </c>
      <c r="B1477" s="5" t="s">
        <v>3917</v>
      </c>
      <c r="C1477" s="5" t="s">
        <v>26</v>
      </c>
      <c r="D1477" s="5" t="s">
        <v>27</v>
      </c>
      <c r="E1477" s="5" t="s">
        <v>191</v>
      </c>
      <c r="F1477" s="9">
        <v>34</v>
      </c>
      <c r="G1477" s="9" t="s">
        <v>1972</v>
      </c>
      <c r="H1477" s="5" t="s">
        <v>21</v>
      </c>
      <c r="I1477" s="5" t="s">
        <v>3918</v>
      </c>
      <c r="J1477" s="12" t="str">
        <f>HYPERLINK("https://www.boe.es/gazeta/dias/1803/04/29/pdfs/GMD-C-1803-34.pdf#page=9","Abrir facsímil")</f>
        <v>Abrir facsímil</v>
      </c>
      <c r="K1477" s="15" t="s">
        <v>23</v>
      </c>
    </row>
    <row r="1478" spans="1:11" ht="42" customHeight="1">
      <c r="A1478" s="4" t="s">
        <v>3919</v>
      </c>
      <c r="B1478" s="5" t="s">
        <v>3920</v>
      </c>
      <c r="C1478" s="5" t="s">
        <v>26</v>
      </c>
      <c r="D1478" s="5" t="s">
        <v>27</v>
      </c>
      <c r="E1478" s="5" t="s">
        <v>1915</v>
      </c>
      <c r="F1478" s="9">
        <v>44</v>
      </c>
      <c r="G1478" s="9">
        <v>459</v>
      </c>
      <c r="H1478" s="5" t="s">
        <v>21</v>
      </c>
      <c r="I1478" s="5" t="s">
        <v>3921</v>
      </c>
      <c r="J1478" s="12" t="str">
        <f>HYPERLINK("https://www.boe.es/gazeta/dias/1803/06/03/pdfs/GMD-1803-44.pdf#page=7","Abrir facsímil")</f>
        <v>Abrir facsímil</v>
      </c>
      <c r="K1478" s="15" t="s">
        <v>23</v>
      </c>
    </row>
    <row r="1479" spans="1:11" ht="42" customHeight="1">
      <c r="A1479" s="4" t="s">
        <v>3922</v>
      </c>
      <c r="B1479" s="5" t="s">
        <v>3923</v>
      </c>
      <c r="C1479" s="5" t="s">
        <v>26</v>
      </c>
      <c r="D1479" s="5" t="s">
        <v>27</v>
      </c>
      <c r="E1479" s="5" t="s">
        <v>278</v>
      </c>
      <c r="F1479" s="9">
        <v>46</v>
      </c>
      <c r="G1479" s="9">
        <v>486</v>
      </c>
      <c r="H1479" s="5" t="s">
        <v>21</v>
      </c>
      <c r="I1479" s="5" t="s">
        <v>3924</v>
      </c>
      <c r="J1479" s="12" t="str">
        <f>HYPERLINK("https://www.boe.es/gazeta/dias/1803/06/10/pdfs/GMD-1803-46.pdf#page=10","Abrir facsímil")</f>
        <v>Abrir facsímil</v>
      </c>
      <c r="K1479" s="15" t="s">
        <v>23</v>
      </c>
    </row>
    <row r="1480" spans="1:11" ht="42" customHeight="1">
      <c r="A1480" s="4" t="s">
        <v>3925</v>
      </c>
      <c r="B1480" s="5" t="s">
        <v>3926</v>
      </c>
      <c r="C1480" s="5" t="s">
        <v>80</v>
      </c>
      <c r="D1480" s="5" t="s">
        <v>81</v>
      </c>
      <c r="E1480" s="5" t="s">
        <v>272</v>
      </c>
      <c r="F1480" s="9">
        <v>25</v>
      </c>
      <c r="G1480" s="9">
        <v>266</v>
      </c>
      <c r="H1480" s="5" t="s">
        <v>21</v>
      </c>
      <c r="I1480" s="5" t="s">
        <v>3927</v>
      </c>
      <c r="J1480" s="12" t="str">
        <f>HYPERLINK("https://www.boe.es/gazeta/dias/1803/03/29/pdfs/GMD-1803-25.pdf#page=6","Abrir facsímil")</f>
        <v>Abrir facsímil</v>
      </c>
      <c r="K1480" s="15" t="s">
        <v>23</v>
      </c>
    </row>
    <row r="1481" spans="1:11" ht="42" customHeight="1">
      <c r="A1481" s="4" t="s">
        <v>3928</v>
      </c>
      <c r="B1481" s="5" t="s">
        <v>3929</v>
      </c>
      <c r="C1481" s="5" t="s">
        <v>26</v>
      </c>
      <c r="D1481" s="5" t="s">
        <v>27</v>
      </c>
      <c r="E1481" s="5" t="s">
        <v>117</v>
      </c>
      <c r="F1481" s="9">
        <v>59</v>
      </c>
      <c r="G1481" s="9">
        <v>647</v>
      </c>
      <c r="H1481" s="5" t="s">
        <v>21</v>
      </c>
      <c r="I1481" s="5" t="s">
        <v>3930</v>
      </c>
      <c r="J1481" s="12" t="str">
        <f>HYPERLINK("https://www.boe.es/gazeta/dias/1803/07/26/pdfs/GMD-1803-59.pdf#page=7","Abrir facsímil")</f>
        <v>Abrir facsímil</v>
      </c>
      <c r="K1481" s="15" t="s">
        <v>23</v>
      </c>
    </row>
    <row r="1482" spans="1:11" ht="42" customHeight="1">
      <c r="A1482" s="4" t="s">
        <v>3931</v>
      </c>
      <c r="B1482" s="5" t="s">
        <v>3932</v>
      </c>
      <c r="C1482" s="5" t="s">
        <v>26</v>
      </c>
      <c r="D1482" s="5" t="s">
        <v>27</v>
      </c>
      <c r="E1482" s="5" t="s">
        <v>784</v>
      </c>
      <c r="F1482" s="9">
        <v>86</v>
      </c>
      <c r="G1482" s="9">
        <v>930</v>
      </c>
      <c r="H1482" s="5" t="s">
        <v>21</v>
      </c>
      <c r="I1482" s="5" t="s">
        <v>3933</v>
      </c>
      <c r="J1482" s="12" t="str">
        <f>HYPERLINK("https://www.boe.es/gazeta/dias/1803/10/25/pdfs/GMD-1803-86.pdf#page=10","Abrir facsímil")</f>
        <v>Abrir facsímil</v>
      </c>
      <c r="K1482" s="15" t="s">
        <v>23</v>
      </c>
    </row>
    <row r="1483" spans="1:11" ht="42" customHeight="1">
      <c r="A1483" s="4" t="s">
        <v>3934</v>
      </c>
      <c r="B1483" s="5" t="s">
        <v>3935</v>
      </c>
      <c r="C1483" s="5" t="s">
        <v>40</v>
      </c>
      <c r="D1483" s="5" t="s">
        <v>41</v>
      </c>
      <c r="E1483" s="5" t="s">
        <v>493</v>
      </c>
      <c r="F1483" s="9">
        <v>104</v>
      </c>
      <c r="G1483" s="9">
        <v>1115</v>
      </c>
      <c r="H1483" s="5" t="s">
        <v>21</v>
      </c>
      <c r="I1483" s="5" t="s">
        <v>3936</v>
      </c>
      <c r="J1483" s="12" t="str">
        <f>HYPERLINK("https://www.boe.es/gazeta/dias/1803/12/27/pdfs/GMD-1803-104.pdf#page=7","Abrir facsímil")</f>
        <v>Abrir facsímil</v>
      </c>
      <c r="K1483" s="15" t="s">
        <v>23</v>
      </c>
    </row>
    <row r="1484" spans="1:11" ht="42" customHeight="1">
      <c r="A1484" s="4" t="s">
        <v>3934</v>
      </c>
      <c r="B1484" s="5" t="s">
        <v>3935</v>
      </c>
      <c r="C1484" s="5" t="s">
        <v>46</v>
      </c>
      <c r="D1484" s="5" t="s">
        <v>19</v>
      </c>
      <c r="E1484" s="5" t="s">
        <v>493</v>
      </c>
      <c r="F1484" s="9">
        <v>104</v>
      </c>
      <c r="G1484" s="9">
        <v>1116</v>
      </c>
      <c r="H1484" s="5" t="s">
        <v>21</v>
      </c>
      <c r="I1484" s="5" t="s">
        <v>3937</v>
      </c>
      <c r="J1484" s="12" t="str">
        <f>HYPERLINK("https://www.boe.es/gazeta/dias/1803/12/27/pdfs/GMD-1803-104.pdf#page=8","Abrir facsímil")</f>
        <v>Abrir facsímil</v>
      </c>
      <c r="K1484" s="15" t="s">
        <v>23</v>
      </c>
    </row>
    <row r="1485" spans="1:11" ht="42" customHeight="1">
      <c r="A1485" s="4" t="s">
        <v>3938</v>
      </c>
      <c r="B1485" s="5" t="s">
        <v>3939</v>
      </c>
      <c r="C1485" s="5" t="s">
        <v>80</v>
      </c>
      <c r="D1485" s="5" t="s">
        <v>81</v>
      </c>
      <c r="E1485" s="5" t="s">
        <v>403</v>
      </c>
      <c r="F1485" s="9">
        <v>91</v>
      </c>
      <c r="G1485" s="9">
        <v>979</v>
      </c>
      <c r="H1485" s="5" t="s">
        <v>21</v>
      </c>
      <c r="I1485" s="5" t="s">
        <v>3940</v>
      </c>
      <c r="J1485" s="12" t="str">
        <f>HYPERLINK("https://www.boe.es/gazeta/dias/1803/11/11/pdfs/GMD-1803-91.pdf#page=11","Abrir facsímil")</f>
        <v>Abrir facsímil</v>
      </c>
      <c r="K1485" s="15" t="s">
        <v>23</v>
      </c>
    </row>
    <row r="1486" spans="1:11" ht="42" customHeight="1">
      <c r="A1486" s="4" t="s">
        <v>3941</v>
      </c>
      <c r="B1486" s="5" t="s">
        <v>3942</v>
      </c>
      <c r="C1486" s="5" t="s">
        <v>26</v>
      </c>
      <c r="D1486" s="5" t="s">
        <v>27</v>
      </c>
      <c r="E1486" s="5" t="s">
        <v>207</v>
      </c>
      <c r="F1486" s="9">
        <v>27</v>
      </c>
      <c r="G1486" s="9">
        <v>293</v>
      </c>
      <c r="H1486" s="5" t="s">
        <v>21</v>
      </c>
      <c r="I1486" s="5" t="s">
        <v>3943</v>
      </c>
      <c r="J1486" s="12" t="str">
        <f>HYPERLINK("https://www.boe.es/gazeta/dias/1803/04/05/pdfs/GMD-1803-27.pdf#page=9","Abrir facsímil")</f>
        <v>Abrir facsímil</v>
      </c>
      <c r="K1486" s="15" t="s">
        <v>23</v>
      </c>
    </row>
    <row r="1487" spans="1:11" ht="42" customHeight="1">
      <c r="A1487" s="4" t="s">
        <v>3944</v>
      </c>
      <c r="B1487" s="5" t="s">
        <v>3945</v>
      </c>
      <c r="C1487" s="5" t="s">
        <v>46</v>
      </c>
      <c r="D1487" s="5" t="s">
        <v>19</v>
      </c>
      <c r="E1487" s="5" t="s">
        <v>509</v>
      </c>
      <c r="F1487" s="9">
        <v>6</v>
      </c>
      <c r="G1487" s="9">
        <v>53</v>
      </c>
      <c r="H1487" s="5" t="s">
        <v>21</v>
      </c>
      <c r="I1487" s="5" t="s">
        <v>3946</v>
      </c>
      <c r="J1487" s="12" t="str">
        <f>HYPERLINK("https://www.boe.es/gazeta/dias/1803/01/21/pdfs/GMD-1803-6.pdf#page=5","Abrir facsímil")</f>
        <v>Abrir facsímil</v>
      </c>
      <c r="K1487" s="15" t="s">
        <v>23</v>
      </c>
    </row>
    <row r="1488" spans="1:11" ht="42" customHeight="1">
      <c r="A1488" s="4" t="s">
        <v>3947</v>
      </c>
      <c r="B1488" s="5" t="s">
        <v>3947</v>
      </c>
      <c r="C1488" s="5" t="s">
        <v>40</v>
      </c>
      <c r="D1488" s="5" t="s">
        <v>41</v>
      </c>
      <c r="E1488" s="5" t="s">
        <v>609</v>
      </c>
      <c r="F1488" s="9">
        <v>57</v>
      </c>
      <c r="G1488" s="9">
        <v>618</v>
      </c>
      <c r="H1488" s="5" t="s">
        <v>21</v>
      </c>
      <c r="I1488" s="5" t="s">
        <v>3948</v>
      </c>
      <c r="J1488" s="12" t="str">
        <f>HYPERLINK("https://www.boe.es/gazeta/dias/1803/07/19/pdfs/GMD-1803-57.pdf#page=6","Abrir facsímil")</f>
        <v>Abrir facsímil</v>
      </c>
      <c r="K1488" s="15" t="s">
        <v>23</v>
      </c>
    </row>
    <row r="1489" spans="1:11" ht="42" customHeight="1">
      <c r="A1489" s="4" t="s">
        <v>3949</v>
      </c>
      <c r="B1489" s="5" t="s">
        <v>3950</v>
      </c>
      <c r="C1489" s="5" t="s">
        <v>26</v>
      </c>
      <c r="D1489" s="5" t="s">
        <v>27</v>
      </c>
      <c r="E1489" s="5" t="s">
        <v>191</v>
      </c>
      <c r="F1489" s="9">
        <v>34</v>
      </c>
      <c r="G1489" s="9">
        <v>358</v>
      </c>
      <c r="H1489" s="5" t="s">
        <v>21</v>
      </c>
      <c r="I1489" s="5" t="s">
        <v>3951</v>
      </c>
      <c r="J1489" s="12" t="str">
        <f>HYPERLINK("https://www.boe.es/gazeta/dias/1803/04/29/pdfs/GMD-1803-34.pdf#page=6","Abrir facsímil")</f>
        <v>Abrir facsímil</v>
      </c>
      <c r="K1489" s="15" t="s">
        <v>23</v>
      </c>
    </row>
    <row r="1490" spans="1:11" ht="42" customHeight="1">
      <c r="A1490" s="4" t="s">
        <v>3952</v>
      </c>
      <c r="B1490" s="5" t="s">
        <v>3952</v>
      </c>
      <c r="C1490" s="5" t="s">
        <v>40</v>
      </c>
      <c r="D1490" s="5" t="s">
        <v>41</v>
      </c>
      <c r="E1490" s="5" t="s">
        <v>501</v>
      </c>
      <c r="F1490" s="9">
        <v>22</v>
      </c>
      <c r="G1490" s="9">
        <v>235</v>
      </c>
      <c r="H1490" s="5" t="s">
        <v>21</v>
      </c>
      <c r="I1490" s="5" t="s">
        <v>3953</v>
      </c>
      <c r="J1490" s="12" t="str">
        <f>HYPERLINK("https://www.boe.es/gazeta/dias/1803/03/18/pdfs/GMD-1803-22.pdf#page=7","Abrir facsímil")</f>
        <v>Abrir facsímil</v>
      </c>
      <c r="K1490" s="15" t="s">
        <v>23</v>
      </c>
    </row>
    <row r="1491" spans="1:11" ht="42" customHeight="1">
      <c r="A1491" s="4" t="s">
        <v>3954</v>
      </c>
      <c r="B1491" s="5" t="s">
        <v>3955</v>
      </c>
      <c r="C1491" s="5" t="s">
        <v>26</v>
      </c>
      <c r="D1491" s="5" t="s">
        <v>27</v>
      </c>
      <c r="E1491" s="5" t="s">
        <v>53</v>
      </c>
      <c r="F1491" s="9">
        <v>99</v>
      </c>
      <c r="G1491" s="9">
        <v>1061</v>
      </c>
      <c r="H1491" s="5" t="s">
        <v>21</v>
      </c>
      <c r="I1491" s="5" t="s">
        <v>3956</v>
      </c>
      <c r="J1491" s="12" t="str">
        <f>HYPERLINK("https://www.boe.es/gazeta/dias/1803/12/09/pdfs/GMD-1803-99.pdf#page=9","Abrir facsímil")</f>
        <v>Abrir facsímil</v>
      </c>
      <c r="K1491" s="15" t="s">
        <v>23</v>
      </c>
    </row>
    <row r="1492" spans="1:11" ht="42" customHeight="1">
      <c r="A1492" s="4" t="s">
        <v>3957</v>
      </c>
      <c r="B1492" s="5" t="s">
        <v>3958</v>
      </c>
      <c r="C1492" s="5" t="s">
        <v>26</v>
      </c>
      <c r="D1492" s="5" t="s">
        <v>27</v>
      </c>
      <c r="E1492" s="5" t="s">
        <v>317</v>
      </c>
      <c r="F1492" s="9">
        <v>12</v>
      </c>
      <c r="G1492" s="9">
        <v>121</v>
      </c>
      <c r="H1492" s="5" t="s">
        <v>21</v>
      </c>
      <c r="I1492" s="5" t="s">
        <v>3959</v>
      </c>
      <c r="J1492" s="12" t="str">
        <f>HYPERLINK("https://www.boe.es/gazeta/dias/1803/02/11/pdfs/GMD-1803-12.pdf#page=9","Abrir facsímil")</f>
        <v>Abrir facsímil</v>
      </c>
      <c r="K1492" s="15" t="s">
        <v>23</v>
      </c>
    </row>
    <row r="1493" spans="1:11" ht="42" customHeight="1">
      <c r="A1493" s="4" t="s">
        <v>3960</v>
      </c>
      <c r="B1493" s="5" t="s">
        <v>3961</v>
      </c>
      <c r="C1493" s="5" t="s">
        <v>51</v>
      </c>
      <c r="D1493" s="5" t="s">
        <v>52</v>
      </c>
      <c r="E1493" s="5" t="s">
        <v>189</v>
      </c>
      <c r="F1493" s="9">
        <v>9</v>
      </c>
      <c r="G1493" s="9">
        <v>92</v>
      </c>
      <c r="H1493" s="5" t="s">
        <v>21</v>
      </c>
      <c r="I1493" s="5" t="s">
        <v>3962</v>
      </c>
      <c r="J1493" s="12" t="str">
        <f>HYPERLINK("https://www.boe.es/gazeta/dias/1803/02/01/pdfs/GMD-1803-9.pdf#page=8","Abrir facsímil")</f>
        <v>Abrir facsímil</v>
      </c>
      <c r="K1493" s="15" t="s">
        <v>23</v>
      </c>
    </row>
    <row r="1494" spans="1:11" ht="42" customHeight="1">
      <c r="A1494" s="4" t="s">
        <v>3960</v>
      </c>
      <c r="B1494" s="5" t="s">
        <v>3961</v>
      </c>
      <c r="C1494" s="5" t="s">
        <v>26</v>
      </c>
      <c r="D1494" s="5" t="s">
        <v>27</v>
      </c>
      <c r="E1494" s="5" t="s">
        <v>61</v>
      </c>
      <c r="F1494" s="9">
        <v>67</v>
      </c>
      <c r="G1494" s="9">
        <v>729</v>
      </c>
      <c r="H1494" s="5" t="s">
        <v>21</v>
      </c>
      <c r="I1494" s="5" t="s">
        <v>3963</v>
      </c>
      <c r="J1494" s="12" t="str">
        <f>HYPERLINK("https://www.boe.es/gazeta/dias/1803/08/23/pdfs/GMD-1803-67.pdf#page=9","Abrir facsímil")</f>
        <v>Abrir facsímil</v>
      </c>
      <c r="K1494" s="15" t="s">
        <v>23</v>
      </c>
    </row>
    <row r="1495" spans="1:11" ht="42" customHeight="1">
      <c r="A1495" s="4" t="s">
        <v>3964</v>
      </c>
      <c r="B1495" s="5" t="s">
        <v>3965</v>
      </c>
      <c r="C1495" s="5" t="s">
        <v>26</v>
      </c>
      <c r="D1495" s="5" t="s">
        <v>27</v>
      </c>
      <c r="E1495" s="5" t="s">
        <v>1846</v>
      </c>
      <c r="F1495" s="9">
        <v>89</v>
      </c>
      <c r="G1495" s="9">
        <v>959</v>
      </c>
      <c r="H1495" s="5" t="s">
        <v>21</v>
      </c>
      <c r="I1495" s="5" t="s">
        <v>3966</v>
      </c>
      <c r="J1495" s="12" t="str">
        <f>HYPERLINK("https://www.boe.es/gazeta/dias/1803/11/04/pdfs/GMD-1803-89.pdf#page=7","Abrir facsímil")</f>
        <v>Abrir facsímil</v>
      </c>
      <c r="K1495" s="15" t="s">
        <v>23</v>
      </c>
    </row>
    <row r="1496" spans="1:11" ht="42" customHeight="1">
      <c r="A1496" s="4" t="s">
        <v>3967</v>
      </c>
      <c r="B1496" s="5" t="s">
        <v>3967</v>
      </c>
      <c r="C1496" s="5" t="s">
        <v>51</v>
      </c>
      <c r="D1496" s="5" t="s">
        <v>52</v>
      </c>
      <c r="E1496" s="5" t="s">
        <v>203</v>
      </c>
      <c r="F1496" s="9">
        <v>32</v>
      </c>
      <c r="G1496" s="9">
        <v>335</v>
      </c>
      <c r="H1496" s="5" t="s">
        <v>21</v>
      </c>
      <c r="I1496" s="5" t="s">
        <v>3968</v>
      </c>
      <c r="J1496" s="12" t="str">
        <f>HYPERLINK("https://www.boe.es/gazeta/dias/1803/04/22/pdfs/GMD-1803-32.pdf#page=7","Abrir facsímil")</f>
        <v>Abrir facsímil</v>
      </c>
      <c r="K1496" s="15" t="s">
        <v>23</v>
      </c>
    </row>
    <row r="1497" spans="1:11" ht="42" customHeight="1">
      <c r="A1497" s="4" t="s">
        <v>3969</v>
      </c>
      <c r="B1497" s="5" t="s">
        <v>3969</v>
      </c>
      <c r="C1497" s="5" t="s">
        <v>40</v>
      </c>
      <c r="D1497" s="5" t="s">
        <v>41</v>
      </c>
      <c r="E1497" s="5" t="s">
        <v>85</v>
      </c>
      <c r="F1497" s="9">
        <v>49</v>
      </c>
      <c r="G1497" s="9">
        <v>513</v>
      </c>
      <c r="H1497" s="5" t="s">
        <v>21</v>
      </c>
      <c r="I1497" s="5" t="s">
        <v>3970</v>
      </c>
      <c r="J1497" s="12" t="str">
        <f>HYPERLINK("https://www.boe.es/gazeta/dias/1803/06/21/pdfs/GMD-1803-49.pdf#page=1","Abrir facsímil")</f>
        <v>Abrir facsímil</v>
      </c>
      <c r="K1497" s="15" t="s">
        <v>23</v>
      </c>
    </row>
    <row r="1498" spans="1:11" ht="42" customHeight="1">
      <c r="A1498" s="4" t="s">
        <v>3971</v>
      </c>
      <c r="B1498" s="5" t="s">
        <v>3972</v>
      </c>
      <c r="C1498" s="5" t="s">
        <v>26</v>
      </c>
      <c r="D1498" s="5" t="s">
        <v>27</v>
      </c>
      <c r="E1498" s="5" t="s">
        <v>501</v>
      </c>
      <c r="F1498" s="9">
        <v>22</v>
      </c>
      <c r="G1498" s="9">
        <v>238</v>
      </c>
      <c r="H1498" s="5" t="s">
        <v>21</v>
      </c>
      <c r="I1498" s="5" t="s">
        <v>3973</v>
      </c>
      <c r="J1498" s="12" t="str">
        <f>HYPERLINK("https://www.boe.es/gazeta/dias/1803/03/18/pdfs/GMD-1803-22.pdf#page=10","Abrir facsímil")</f>
        <v>Abrir facsímil</v>
      </c>
      <c r="K1498" s="15" t="s">
        <v>23</v>
      </c>
    </row>
    <row r="1499" spans="1:11" ht="42" customHeight="1">
      <c r="A1499" s="4" t="s">
        <v>3974</v>
      </c>
      <c r="B1499" s="5" t="s">
        <v>3974</v>
      </c>
      <c r="C1499" s="5" t="s">
        <v>40</v>
      </c>
      <c r="D1499" s="5" t="s">
        <v>41</v>
      </c>
      <c r="E1499" s="5" t="s">
        <v>630</v>
      </c>
      <c r="F1499" s="9">
        <v>85</v>
      </c>
      <c r="G1499" s="9">
        <v>915</v>
      </c>
      <c r="H1499" s="5" t="s">
        <v>21</v>
      </c>
      <c r="I1499" s="5" t="s">
        <v>3975</v>
      </c>
      <c r="J1499" s="12" t="str">
        <f>HYPERLINK("https://www.boe.es/gazeta/dias/1803/10/21/pdfs/GMD-1803-85.pdf#page=7","Abrir facsímil")</f>
        <v>Abrir facsímil</v>
      </c>
      <c r="K1499" s="15" t="s">
        <v>23</v>
      </c>
    </row>
    <row r="1500" spans="1:11" ht="42" customHeight="1">
      <c r="A1500" s="4" t="s">
        <v>3974</v>
      </c>
      <c r="B1500" s="5" t="s">
        <v>3974</v>
      </c>
      <c r="C1500" s="5" t="s">
        <v>40</v>
      </c>
      <c r="D1500" s="5" t="s">
        <v>41</v>
      </c>
      <c r="E1500" s="5" t="s">
        <v>109</v>
      </c>
      <c r="F1500" s="9">
        <v>102</v>
      </c>
      <c r="G1500" s="9">
        <v>1090</v>
      </c>
      <c r="H1500" s="5" t="s">
        <v>21</v>
      </c>
      <c r="I1500" s="5" t="s">
        <v>3976</v>
      </c>
      <c r="J1500" s="12" t="str">
        <f>HYPERLINK("https://www.boe.es/gazeta/dias/1803/12/20/pdfs/GMD-1803-102.pdf#page=2","Abrir facsímil")</f>
        <v>Abrir facsímil</v>
      </c>
      <c r="K1500" s="15" t="s">
        <v>23</v>
      </c>
    </row>
    <row r="1501" spans="1:11" ht="42" customHeight="1">
      <c r="A1501" s="4" t="s">
        <v>3977</v>
      </c>
      <c r="B1501" s="5" t="s">
        <v>3977</v>
      </c>
      <c r="C1501" s="5" t="s">
        <v>26</v>
      </c>
      <c r="D1501" s="5" t="s">
        <v>27</v>
      </c>
      <c r="E1501" s="5" t="s">
        <v>75</v>
      </c>
      <c r="F1501" s="9">
        <v>56</v>
      </c>
      <c r="G1501" s="9">
        <v>608</v>
      </c>
      <c r="H1501" s="5" t="s">
        <v>21</v>
      </c>
      <c r="I1501" s="5" t="s">
        <v>3978</v>
      </c>
      <c r="J1501" s="12" t="str">
        <f>HYPERLINK("https://www.boe.es/gazeta/dias/1803/07/15/pdfs/GMD-1803-56.pdf#page=4","Abrir facsímil")</f>
        <v>Abrir facsímil</v>
      </c>
      <c r="K1501" s="15" t="s">
        <v>23</v>
      </c>
    </row>
    <row r="1502" spans="1:11" ht="42" customHeight="1">
      <c r="A1502" s="4" t="s">
        <v>3979</v>
      </c>
      <c r="B1502" s="5" t="s">
        <v>3980</v>
      </c>
      <c r="C1502" s="5" t="s">
        <v>51</v>
      </c>
      <c r="D1502" s="5" t="s">
        <v>52</v>
      </c>
      <c r="E1502" s="5" t="s">
        <v>258</v>
      </c>
      <c r="F1502" s="9">
        <v>7</v>
      </c>
      <c r="G1502" s="9">
        <v>67</v>
      </c>
      <c r="H1502" s="5" t="s">
        <v>21</v>
      </c>
      <c r="I1502" s="5" t="s">
        <v>3981</v>
      </c>
      <c r="J1502" s="12" t="str">
        <f>HYPERLINK("https://www.boe.es/gazeta/dias/1803/01/25/pdfs/GMD-1803-7.pdf#page=7","Abrir facsímil")</f>
        <v>Abrir facsímil</v>
      </c>
      <c r="K1502" s="15" t="s">
        <v>23</v>
      </c>
    </row>
    <row r="1503" spans="1:11" ht="42" customHeight="1">
      <c r="A1503" s="4" t="s">
        <v>3982</v>
      </c>
      <c r="B1503" s="5" t="s">
        <v>3982</v>
      </c>
      <c r="C1503" s="5" t="s">
        <v>51</v>
      </c>
      <c r="D1503" s="5" t="s">
        <v>52</v>
      </c>
      <c r="E1503" s="5" t="s">
        <v>509</v>
      </c>
      <c r="F1503" s="9">
        <v>6</v>
      </c>
      <c r="G1503" s="9">
        <v>53</v>
      </c>
      <c r="H1503" s="5" t="s">
        <v>21</v>
      </c>
      <c r="I1503" s="5" t="s">
        <v>3983</v>
      </c>
      <c r="J1503" s="12" t="str">
        <f>HYPERLINK("https://www.boe.es/gazeta/dias/1803/01/21/pdfs/GMD-1803-6.pdf#page=5","Abrir facsímil")</f>
        <v>Abrir facsímil</v>
      </c>
      <c r="K1503" s="15" t="s">
        <v>23</v>
      </c>
    </row>
    <row r="1504" spans="1:11" ht="42" customHeight="1">
      <c r="A1504" s="4" t="s">
        <v>3984</v>
      </c>
      <c r="B1504" s="5" t="s">
        <v>3984</v>
      </c>
      <c r="C1504" s="5" t="s">
        <v>26</v>
      </c>
      <c r="D1504" s="5" t="s">
        <v>27</v>
      </c>
      <c r="E1504" s="5" t="s">
        <v>174</v>
      </c>
      <c r="F1504" s="9">
        <v>21</v>
      </c>
      <c r="G1504" s="9">
        <v>221</v>
      </c>
      <c r="H1504" s="5" t="s">
        <v>21</v>
      </c>
      <c r="I1504" s="5" t="s">
        <v>3985</v>
      </c>
      <c r="J1504" s="12" t="str">
        <f>HYPERLINK("https://www.boe.es/gazeta/dias/1803/03/15/pdfs/GMD-1803-21.pdf#page=5","Abrir facsímil")</f>
        <v>Abrir facsímil</v>
      </c>
      <c r="K1504" s="15" t="s">
        <v>23</v>
      </c>
    </row>
    <row r="1505" spans="1:11" ht="42" customHeight="1">
      <c r="A1505" s="4" t="s">
        <v>3986</v>
      </c>
      <c r="B1505" s="5" t="s">
        <v>3986</v>
      </c>
      <c r="C1505" s="5" t="s">
        <v>26</v>
      </c>
      <c r="D1505" s="5" t="s">
        <v>27</v>
      </c>
      <c r="E1505" s="5" t="s">
        <v>152</v>
      </c>
      <c r="F1505" s="9">
        <v>16</v>
      </c>
      <c r="G1505" s="9">
        <v>163</v>
      </c>
      <c r="H1505" s="5" t="s">
        <v>21</v>
      </c>
      <c r="I1505" s="5" t="s">
        <v>3987</v>
      </c>
      <c r="J1505" s="12" t="str">
        <f>HYPERLINK("https://www.boe.es/gazeta/dias/1803/02/25/pdfs/GMD-1803-16.pdf#page=3","Abrir facsímil")</f>
        <v>Abrir facsímil</v>
      </c>
      <c r="K1505" s="15" t="s">
        <v>23</v>
      </c>
    </row>
    <row r="1506" spans="1:11" ht="42" customHeight="1">
      <c r="A1506" s="4" t="s">
        <v>3988</v>
      </c>
      <c r="B1506" s="5" t="s">
        <v>3989</v>
      </c>
      <c r="C1506" s="5" t="s">
        <v>40</v>
      </c>
      <c r="D1506" s="5" t="s">
        <v>41</v>
      </c>
      <c r="E1506" s="5" t="s">
        <v>152</v>
      </c>
      <c r="F1506" s="9">
        <v>16</v>
      </c>
      <c r="G1506" s="9">
        <v>163</v>
      </c>
      <c r="H1506" s="5" t="s">
        <v>21</v>
      </c>
      <c r="I1506" s="5" t="s">
        <v>3990</v>
      </c>
      <c r="J1506" s="12" t="str">
        <f>HYPERLINK("https://www.boe.es/gazeta/dias/1803/02/25/pdfs/GMD-1803-16.pdf#page=3","Abrir facsímil")</f>
        <v>Abrir facsímil</v>
      </c>
      <c r="K1506" s="15" t="s">
        <v>23</v>
      </c>
    </row>
    <row r="1507" spans="1:11" ht="42" customHeight="1">
      <c r="A1507" s="4" t="s">
        <v>3988</v>
      </c>
      <c r="B1507" s="5" t="s">
        <v>3989</v>
      </c>
      <c r="C1507" s="5" t="s">
        <v>40</v>
      </c>
      <c r="D1507" s="5" t="s">
        <v>41</v>
      </c>
      <c r="E1507" s="5" t="s">
        <v>501</v>
      </c>
      <c r="F1507" s="9">
        <v>22</v>
      </c>
      <c r="G1507" s="9">
        <v>230</v>
      </c>
      <c r="H1507" s="5" t="s">
        <v>21</v>
      </c>
      <c r="I1507" s="5" t="s">
        <v>3991</v>
      </c>
      <c r="J1507" s="12" t="str">
        <f>HYPERLINK("https://www.boe.es/gazeta/dias/1803/03/18/pdfs/GMD-1803-22.pdf#page=2","Abrir facsímil")</f>
        <v>Abrir facsímil</v>
      </c>
      <c r="K1507" s="15" t="s">
        <v>23</v>
      </c>
    </row>
    <row r="1508" spans="1:11" ht="42" customHeight="1">
      <c r="A1508" s="4" t="s">
        <v>3988</v>
      </c>
      <c r="B1508" s="5" t="s">
        <v>3989</v>
      </c>
      <c r="C1508" s="5" t="s">
        <v>26</v>
      </c>
      <c r="D1508" s="5" t="s">
        <v>27</v>
      </c>
      <c r="E1508" s="5" t="s">
        <v>501</v>
      </c>
      <c r="F1508" s="9">
        <v>22</v>
      </c>
      <c r="G1508" s="9">
        <v>231</v>
      </c>
      <c r="H1508" s="5" t="s">
        <v>21</v>
      </c>
      <c r="I1508" s="5" t="s">
        <v>3992</v>
      </c>
      <c r="J1508" s="12" t="str">
        <f>HYPERLINK("https://www.boe.es/gazeta/dias/1803/03/18/pdfs/GMD-1803-22.pdf#page=3","Abrir facsímil")</f>
        <v>Abrir facsímil</v>
      </c>
      <c r="K1508" s="15" t="s">
        <v>23</v>
      </c>
    </row>
    <row r="1509" spans="1:11" ht="42" customHeight="1">
      <c r="A1509" s="4" t="s">
        <v>3988</v>
      </c>
      <c r="B1509" s="5" t="s">
        <v>3989</v>
      </c>
      <c r="C1509" s="5" t="s">
        <v>40</v>
      </c>
      <c r="D1509" s="5" t="s">
        <v>41</v>
      </c>
      <c r="E1509" s="5" t="s">
        <v>68</v>
      </c>
      <c r="F1509" s="9">
        <v>23</v>
      </c>
      <c r="G1509" s="9">
        <v>243</v>
      </c>
      <c r="H1509" s="5" t="s">
        <v>21</v>
      </c>
      <c r="I1509" s="5" t="s">
        <v>3993</v>
      </c>
      <c r="J1509" s="12" t="str">
        <f>HYPERLINK("https://www.boe.es/gazeta/dias/1803/03/22/pdfs/GMD-1803-23.pdf#page=3","Abrir facsímil")</f>
        <v>Abrir facsímil</v>
      </c>
      <c r="K1509" s="15" t="s">
        <v>23</v>
      </c>
    </row>
    <row r="1510" spans="1:11" ht="42" customHeight="1">
      <c r="A1510" s="4" t="s">
        <v>3988</v>
      </c>
      <c r="B1510" s="5" t="s">
        <v>3989</v>
      </c>
      <c r="C1510" s="5" t="s">
        <v>40</v>
      </c>
      <c r="D1510" s="5" t="s">
        <v>41</v>
      </c>
      <c r="E1510" s="5" t="s">
        <v>657</v>
      </c>
      <c r="F1510" s="9">
        <v>24</v>
      </c>
      <c r="G1510" s="9">
        <v>250</v>
      </c>
      <c r="H1510" s="5" t="s">
        <v>21</v>
      </c>
      <c r="I1510" s="5" t="s">
        <v>3994</v>
      </c>
      <c r="J1510" s="12" t="str">
        <f>HYPERLINK("https://www.boe.es/gazeta/dias/1803/03/25/pdfs/GMD-1803-24.pdf#page=2","Abrir facsímil")</f>
        <v>Abrir facsímil</v>
      </c>
      <c r="K1510" s="15" t="s">
        <v>23</v>
      </c>
    </row>
    <row r="1511" spans="1:11" ht="42" customHeight="1">
      <c r="A1511" s="4" t="s">
        <v>3988</v>
      </c>
      <c r="B1511" s="5" t="s">
        <v>3989</v>
      </c>
      <c r="C1511" s="5" t="s">
        <v>51</v>
      </c>
      <c r="D1511" s="5" t="s">
        <v>52</v>
      </c>
      <c r="E1511" s="5" t="s">
        <v>261</v>
      </c>
      <c r="F1511" s="9">
        <v>70</v>
      </c>
      <c r="G1511" s="9">
        <v>767</v>
      </c>
      <c r="H1511" s="5" t="s">
        <v>21</v>
      </c>
      <c r="I1511" s="5" t="s">
        <v>3995</v>
      </c>
      <c r="J1511" s="12" t="str">
        <f>HYPERLINK("https://www.boe.es/gazeta/dias/1803/09/02/pdfs/GMD-1803-70.pdf#page=7","Abrir facsímil")</f>
        <v>Abrir facsímil</v>
      </c>
      <c r="K1511" s="15" t="s">
        <v>23</v>
      </c>
    </row>
    <row r="1512" spans="1:11" ht="42" customHeight="1">
      <c r="A1512" s="4" t="s">
        <v>3996</v>
      </c>
      <c r="B1512" s="5" t="s">
        <v>3997</v>
      </c>
      <c r="C1512" s="5" t="s">
        <v>40</v>
      </c>
      <c r="D1512" s="5" t="s">
        <v>41</v>
      </c>
      <c r="E1512" s="5" t="s">
        <v>321</v>
      </c>
      <c r="F1512" s="9">
        <v>94</v>
      </c>
      <c r="G1512" s="9">
        <v>1006</v>
      </c>
      <c r="H1512" s="5" t="s">
        <v>21</v>
      </c>
      <c r="I1512" s="5" t="s">
        <v>3998</v>
      </c>
      <c r="J1512" s="12" t="str">
        <f>HYPERLINK("https://www.boe.es/gazeta/dias/1803/11/22/pdfs/GMD-1803-94.pdf#page=6","Abrir facsímil")</f>
        <v>Abrir facsímil</v>
      </c>
      <c r="K1512" s="15" t="s">
        <v>23</v>
      </c>
    </row>
    <row r="1513" spans="1:11" ht="42" customHeight="1">
      <c r="A1513" s="4" t="s">
        <v>3999</v>
      </c>
      <c r="B1513" s="5" t="s">
        <v>4000</v>
      </c>
      <c r="C1513" s="5" t="s">
        <v>40</v>
      </c>
      <c r="D1513" s="5" t="s">
        <v>41</v>
      </c>
      <c r="E1513" s="5" t="s">
        <v>795</v>
      </c>
      <c r="F1513" s="9">
        <v>98</v>
      </c>
      <c r="G1513" s="9">
        <v>1049</v>
      </c>
      <c r="H1513" s="5" t="s">
        <v>21</v>
      </c>
      <c r="I1513" s="5" t="s">
        <v>4001</v>
      </c>
      <c r="J1513" s="12" t="str">
        <f>HYPERLINK("https://www.boe.es/gazeta/dias/1803/12/06/pdfs/GMD-1803-98.pdf#page=5","Abrir facsímil")</f>
        <v>Abrir facsímil</v>
      </c>
      <c r="K1513" s="15" t="s">
        <v>23</v>
      </c>
    </row>
    <row r="1514" spans="1:11" ht="42" customHeight="1">
      <c r="A1514" s="4" t="s">
        <v>4002</v>
      </c>
      <c r="B1514" s="5" t="s">
        <v>4002</v>
      </c>
      <c r="C1514" s="5" t="s">
        <v>26</v>
      </c>
      <c r="D1514" s="5" t="s">
        <v>27</v>
      </c>
      <c r="E1514" s="5" t="s">
        <v>1279</v>
      </c>
      <c r="F1514" s="9">
        <v>3</v>
      </c>
      <c r="G1514" s="9">
        <v>21</v>
      </c>
      <c r="H1514" s="5" t="s">
        <v>21</v>
      </c>
      <c r="I1514" s="5" t="s">
        <v>4003</v>
      </c>
      <c r="J1514" s="12" t="str">
        <f>HYPERLINK("https://www.boe.es/gazeta/dias/1803/01/11/pdfs/GMD-1803-3.pdf#page=1","Abrir facsímil")</f>
        <v>Abrir facsímil</v>
      </c>
      <c r="K1514" s="15" t="s">
        <v>23</v>
      </c>
    </row>
    <row r="1515" spans="1:11" ht="42" customHeight="1">
      <c r="A1515" s="4" t="s">
        <v>4004</v>
      </c>
      <c r="B1515" s="5" t="s">
        <v>4005</v>
      </c>
      <c r="C1515" s="5" t="s">
        <v>26</v>
      </c>
      <c r="D1515" s="5" t="s">
        <v>27</v>
      </c>
      <c r="E1515" s="5" t="s">
        <v>138</v>
      </c>
      <c r="F1515" s="9">
        <v>68</v>
      </c>
      <c r="G1515" s="9">
        <v>741</v>
      </c>
      <c r="H1515" s="5" t="s">
        <v>21</v>
      </c>
      <c r="I1515" s="5" t="s">
        <v>4006</v>
      </c>
      <c r="J1515" s="12" t="str">
        <f>HYPERLINK("https://www.boe.es/gazeta/dias/1803/08/26/pdfs/GMD-1803-68.pdf#page=9","Abrir facsímil")</f>
        <v>Abrir facsímil</v>
      </c>
      <c r="K1515" s="15" t="s">
        <v>23</v>
      </c>
    </row>
    <row r="1516" spans="1:11" ht="42" customHeight="1">
      <c r="A1516" s="4" t="s">
        <v>4007</v>
      </c>
      <c r="B1516" s="5" t="s">
        <v>4008</v>
      </c>
      <c r="C1516" s="5" t="s">
        <v>40</v>
      </c>
      <c r="D1516" s="5" t="s">
        <v>41</v>
      </c>
      <c r="E1516" s="5" t="s">
        <v>588</v>
      </c>
      <c r="F1516" s="9">
        <v>63</v>
      </c>
      <c r="G1516" s="9">
        <v>683</v>
      </c>
      <c r="H1516" s="5" t="s">
        <v>21</v>
      </c>
      <c r="I1516" s="5" t="s">
        <v>4009</v>
      </c>
      <c r="J1516" s="12" t="str">
        <f>HYPERLINK("https://www.boe.es/gazeta/dias/1803/08/09/pdfs/GMD-1803-63.pdf#page=3","Abrir facsímil")</f>
        <v>Abrir facsímil</v>
      </c>
      <c r="K1516" s="15" t="s">
        <v>23</v>
      </c>
    </row>
    <row r="1517" spans="1:11" ht="42" customHeight="1">
      <c r="A1517" s="4" t="s">
        <v>4010</v>
      </c>
      <c r="B1517" s="5" t="s">
        <v>4011</v>
      </c>
      <c r="C1517" s="5" t="s">
        <v>40</v>
      </c>
      <c r="D1517" s="5" t="s">
        <v>41</v>
      </c>
      <c r="E1517" s="5" t="s">
        <v>28</v>
      </c>
      <c r="F1517" s="9">
        <v>92</v>
      </c>
      <c r="G1517" s="9">
        <v>982</v>
      </c>
      <c r="H1517" s="5" t="s">
        <v>21</v>
      </c>
      <c r="I1517" s="5" t="s">
        <v>4012</v>
      </c>
      <c r="J1517" s="12" t="str">
        <f>HYPERLINK("https://www.boe.es/gazeta/dias/1803/11/15/pdfs/GMD-1803-92.pdf#page=2","Abrir facsímil")</f>
        <v>Abrir facsímil</v>
      </c>
      <c r="K1517" s="15" t="s">
        <v>23</v>
      </c>
    </row>
    <row r="1518" spans="1:11" ht="42" customHeight="1">
      <c r="A1518" s="4" t="s">
        <v>4013</v>
      </c>
      <c r="B1518" s="5" t="s">
        <v>4013</v>
      </c>
      <c r="C1518" s="5" t="s">
        <v>51</v>
      </c>
      <c r="D1518" s="5" t="s">
        <v>52</v>
      </c>
      <c r="E1518" s="5" t="s">
        <v>1279</v>
      </c>
      <c r="F1518" s="9">
        <v>3</v>
      </c>
      <c r="G1518" s="9">
        <v>27</v>
      </c>
      <c r="H1518" s="5" t="s">
        <v>21</v>
      </c>
      <c r="I1518" s="5" t="s">
        <v>4014</v>
      </c>
      <c r="J1518" s="12" t="str">
        <f>HYPERLINK("https://www.boe.es/gazeta/dias/1803/01/11/pdfs/GMD-1803-3.pdf#page=7","Abrir facsímil")</f>
        <v>Abrir facsímil</v>
      </c>
      <c r="K1518" s="15" t="s">
        <v>23</v>
      </c>
    </row>
    <row r="1519" spans="1:11" ht="42" customHeight="1">
      <c r="A1519" s="4" t="s">
        <v>4015</v>
      </c>
      <c r="B1519" s="5" t="s">
        <v>4016</v>
      </c>
      <c r="C1519" s="5" t="s">
        <v>26</v>
      </c>
      <c r="D1519" s="5" t="s">
        <v>27</v>
      </c>
      <c r="E1519" s="5" t="s">
        <v>328</v>
      </c>
      <c r="F1519" s="9">
        <v>54</v>
      </c>
      <c r="G1519" s="9">
        <v>590</v>
      </c>
      <c r="H1519" s="5" t="s">
        <v>21</v>
      </c>
      <c r="I1519" s="5" t="s">
        <v>4017</v>
      </c>
      <c r="J1519" s="12" t="str">
        <f>HYPERLINK("https://www.boe.es/gazeta/dias/1803/07/08/pdfs/GMD-1803-54.pdf#page=10","Abrir facsímil")</f>
        <v>Abrir facsímil</v>
      </c>
      <c r="K1519" s="15" t="s">
        <v>23</v>
      </c>
    </row>
    <row r="1520" spans="1:11" ht="42" customHeight="1">
      <c r="A1520" s="4" t="s">
        <v>4018</v>
      </c>
      <c r="B1520" s="5" t="s">
        <v>4019</v>
      </c>
      <c r="C1520" s="5" t="s">
        <v>26</v>
      </c>
      <c r="D1520" s="5" t="s">
        <v>27</v>
      </c>
      <c r="E1520" s="5" t="s">
        <v>328</v>
      </c>
      <c r="F1520" s="9">
        <v>54</v>
      </c>
      <c r="G1520" s="9">
        <v>590</v>
      </c>
      <c r="H1520" s="5" t="s">
        <v>21</v>
      </c>
      <c r="I1520" s="5" t="s">
        <v>4020</v>
      </c>
      <c r="J1520" s="12" t="str">
        <f>HYPERLINK("https://www.boe.es/gazeta/dias/1803/07/08/pdfs/GMD-1803-54.pdf#page=10","Abrir facsímil")</f>
        <v>Abrir facsímil</v>
      </c>
      <c r="K1520" s="15" t="s">
        <v>23</v>
      </c>
    </row>
    <row r="1521" spans="1:11" ht="42" customHeight="1">
      <c r="A1521" s="4" t="s">
        <v>4021</v>
      </c>
      <c r="B1521" s="5" t="s">
        <v>4022</v>
      </c>
      <c r="C1521" s="5" t="s">
        <v>26</v>
      </c>
      <c r="D1521" s="5" t="s">
        <v>27</v>
      </c>
      <c r="E1521" s="5" t="s">
        <v>83</v>
      </c>
      <c r="F1521" s="9">
        <v>28</v>
      </c>
      <c r="G1521" s="9">
        <v>300</v>
      </c>
      <c r="H1521" s="5" t="s">
        <v>21</v>
      </c>
      <c r="I1521" s="5" t="s">
        <v>4023</v>
      </c>
      <c r="J1521" s="12" t="str">
        <f>HYPERLINK("https://www.boe.es/gazeta/dias/1803/04/08/pdfs/GMD-1803-28.pdf#page=4","Abrir facsímil")</f>
        <v>Abrir facsímil</v>
      </c>
      <c r="K1521" s="15" t="s">
        <v>23</v>
      </c>
    </row>
    <row r="1522" spans="1:11" ht="42" customHeight="1">
      <c r="A1522" s="4" t="s">
        <v>4024</v>
      </c>
      <c r="B1522" s="5" t="s">
        <v>4025</v>
      </c>
      <c r="C1522" s="5" t="s">
        <v>26</v>
      </c>
      <c r="D1522" s="5" t="s">
        <v>27</v>
      </c>
      <c r="E1522" s="5" t="s">
        <v>102</v>
      </c>
      <c r="F1522" s="9">
        <v>31</v>
      </c>
      <c r="G1522" s="9">
        <v>322</v>
      </c>
      <c r="H1522" s="5" t="s">
        <v>21</v>
      </c>
      <c r="I1522" s="5" t="s">
        <v>4026</v>
      </c>
      <c r="J1522" s="12" t="str">
        <f>HYPERLINK("https://www.boe.es/gazeta/dias/1803/04/19/pdfs/GMD-1803-31.pdf#page=2","Abrir facsímil")</f>
        <v>Abrir facsímil</v>
      </c>
      <c r="K1522" s="15" t="s">
        <v>23</v>
      </c>
    </row>
    <row r="1523" spans="1:11" ht="42" customHeight="1">
      <c r="A1523" s="4" t="s">
        <v>4027</v>
      </c>
      <c r="B1523" s="5" t="s">
        <v>4028</v>
      </c>
      <c r="C1523" s="5" t="s">
        <v>51</v>
      </c>
      <c r="D1523" s="5" t="s">
        <v>52</v>
      </c>
      <c r="E1523" s="5" t="s">
        <v>88</v>
      </c>
      <c r="F1523" s="9">
        <v>18</v>
      </c>
      <c r="G1523" s="9">
        <v>183</v>
      </c>
      <c r="H1523" s="5" t="s">
        <v>21</v>
      </c>
      <c r="I1523" s="5" t="s">
        <v>4029</v>
      </c>
      <c r="J1523" s="12" t="str">
        <f>HYPERLINK("https://www.boe.es/gazeta/dias/1803/03/04/pdfs/GMD-1803-18.pdf#page=3","Abrir facsímil")</f>
        <v>Abrir facsímil</v>
      </c>
      <c r="K1523" s="15" t="s">
        <v>23</v>
      </c>
    </row>
    <row r="1524" spans="1:11" ht="42" customHeight="1">
      <c r="A1524" s="4" t="s">
        <v>4027</v>
      </c>
      <c r="B1524" s="5" t="s">
        <v>4028</v>
      </c>
      <c r="C1524" s="5" t="s">
        <v>40</v>
      </c>
      <c r="D1524" s="5" t="s">
        <v>41</v>
      </c>
      <c r="E1524" s="5" t="s">
        <v>407</v>
      </c>
      <c r="F1524" s="9">
        <v>82</v>
      </c>
      <c r="G1524" s="9">
        <v>882</v>
      </c>
      <c r="H1524" s="5" t="s">
        <v>21</v>
      </c>
      <c r="I1524" s="5" t="s">
        <v>4030</v>
      </c>
      <c r="J1524" s="12" t="str">
        <f>HYPERLINK("https://www.boe.es/gazeta/dias/1803/10/11/pdfs/GMD-1803-82.pdf#page=6","Abrir facsímil")</f>
        <v>Abrir facsímil</v>
      </c>
      <c r="K1524" s="15" t="s">
        <v>23</v>
      </c>
    </row>
    <row r="1525" spans="1:11" ht="42" customHeight="1">
      <c r="A1525" s="4" t="s">
        <v>4031</v>
      </c>
      <c r="B1525" s="5" t="s">
        <v>4032</v>
      </c>
      <c r="C1525" s="5" t="s">
        <v>26</v>
      </c>
      <c r="D1525" s="5" t="s">
        <v>27</v>
      </c>
      <c r="E1525" s="5" t="s">
        <v>1279</v>
      </c>
      <c r="F1525" s="9">
        <v>3</v>
      </c>
      <c r="G1525" s="9">
        <v>25</v>
      </c>
      <c r="H1525" s="5" t="s">
        <v>21</v>
      </c>
      <c r="I1525" s="5" t="s">
        <v>4033</v>
      </c>
      <c r="J1525" s="12" t="str">
        <f>HYPERLINK("https://www.boe.es/gazeta/dias/1803/01/11/pdfs/GMD-1803-3.pdf#page=5","Abrir facsímil")</f>
        <v>Abrir facsímil</v>
      </c>
      <c r="K1525" s="15" t="s">
        <v>23</v>
      </c>
    </row>
    <row r="1526" spans="1:11" ht="42" customHeight="1">
      <c r="A1526" s="4" t="s">
        <v>4034</v>
      </c>
      <c r="B1526" s="5" t="s">
        <v>4035</v>
      </c>
      <c r="C1526" s="5" t="s">
        <v>26</v>
      </c>
      <c r="D1526" s="5" t="s">
        <v>27</v>
      </c>
      <c r="E1526" s="5" t="s">
        <v>919</v>
      </c>
      <c r="F1526" s="9">
        <v>69</v>
      </c>
      <c r="G1526" s="9">
        <v>749</v>
      </c>
      <c r="H1526" s="5" t="s">
        <v>21</v>
      </c>
      <c r="I1526" s="5" t="s">
        <v>4036</v>
      </c>
      <c r="J1526" s="12" t="str">
        <f>HYPERLINK("https://www.boe.es/gazeta/dias/1803/08/30/pdfs/GMD-1803-69.pdf#page=5","Abrir facsímil")</f>
        <v>Abrir facsímil</v>
      </c>
      <c r="K1526" s="15" t="s">
        <v>23</v>
      </c>
    </row>
    <row r="1527" spans="1:11" ht="42" customHeight="1">
      <c r="A1527" s="4" t="s">
        <v>4037</v>
      </c>
      <c r="B1527" s="5" t="s">
        <v>4038</v>
      </c>
      <c r="C1527" s="5" t="s">
        <v>18</v>
      </c>
      <c r="D1527" s="5" t="s">
        <v>19</v>
      </c>
      <c r="E1527" s="5" t="s">
        <v>882</v>
      </c>
      <c r="F1527" s="9">
        <v>60</v>
      </c>
      <c r="G1527" s="9">
        <v>657</v>
      </c>
      <c r="H1527" s="5" t="s">
        <v>21</v>
      </c>
      <c r="I1527" s="5" t="s">
        <v>4039</v>
      </c>
      <c r="J1527" s="12" t="str">
        <f>HYPERLINK("https://www.boe.es/gazeta/dias/1803/07/29/pdfs/GMD-1803-60.pdf#page=9","Abrir facsímil")</f>
        <v>Abrir facsímil</v>
      </c>
      <c r="K1527" s="15" t="s">
        <v>23</v>
      </c>
    </row>
    <row r="1528" spans="1:11" ht="42" customHeight="1">
      <c r="A1528" s="4" t="s">
        <v>4040</v>
      </c>
      <c r="B1528" s="5" t="s">
        <v>4041</v>
      </c>
      <c r="C1528" s="5" t="s">
        <v>51</v>
      </c>
      <c r="D1528" s="5" t="s">
        <v>52</v>
      </c>
      <c r="E1528" s="5" t="s">
        <v>332</v>
      </c>
      <c r="F1528" s="9">
        <v>11</v>
      </c>
      <c r="G1528" s="9">
        <v>111</v>
      </c>
      <c r="H1528" s="5" t="s">
        <v>21</v>
      </c>
      <c r="I1528" s="5" t="s">
        <v>4042</v>
      </c>
      <c r="J1528" s="12" t="str">
        <f>HYPERLINK("https://www.boe.es/gazeta/dias/1803/02/08/pdfs/GMD-1803-11.pdf#page=7","Abrir facsímil")</f>
        <v>Abrir facsímil</v>
      </c>
      <c r="K1528" s="15" t="s">
        <v>23</v>
      </c>
    </row>
    <row r="1529" spans="1:11" ht="42" customHeight="1">
      <c r="A1529" s="4" t="s">
        <v>4043</v>
      </c>
      <c r="B1529" s="5" t="s">
        <v>4044</v>
      </c>
      <c r="C1529" s="5" t="s">
        <v>46</v>
      </c>
      <c r="D1529" s="5" t="s">
        <v>19</v>
      </c>
      <c r="E1529" s="5" t="s">
        <v>336</v>
      </c>
      <c r="F1529" s="9">
        <v>105</v>
      </c>
      <c r="G1529" s="9">
        <v>1124</v>
      </c>
      <c r="H1529" s="5" t="s">
        <v>21</v>
      </c>
      <c r="I1529" s="5" t="s">
        <v>4045</v>
      </c>
      <c r="J1529" s="12" t="str">
        <f>HYPERLINK("https://www.boe.es/gazeta/dias/1803/12/30/pdfs/GMD-1803-105.pdf#page=8","Abrir facsímil")</f>
        <v>Abrir facsímil</v>
      </c>
      <c r="K1529" s="15" t="s">
        <v>23</v>
      </c>
    </row>
    <row r="1530" spans="1:11" ht="42" customHeight="1">
      <c r="A1530" s="4" t="s">
        <v>4046</v>
      </c>
      <c r="B1530" s="5" t="s">
        <v>4047</v>
      </c>
      <c r="C1530" s="5" t="s">
        <v>46</v>
      </c>
      <c r="D1530" s="5" t="s">
        <v>19</v>
      </c>
      <c r="E1530" s="5" t="s">
        <v>285</v>
      </c>
      <c r="F1530" s="9">
        <v>5</v>
      </c>
      <c r="G1530" s="9">
        <v>47</v>
      </c>
      <c r="H1530" s="5" t="s">
        <v>21</v>
      </c>
      <c r="I1530" s="5" t="s">
        <v>4048</v>
      </c>
      <c r="J1530" s="12" t="str">
        <f>HYPERLINK("https://www.boe.es/gazeta/dias/1803/01/18/pdfs/GMD-1803-5.pdf#page=11","Abrir facsímil")</f>
        <v>Abrir facsímil</v>
      </c>
      <c r="K1530" s="15" t="s">
        <v>23</v>
      </c>
    </row>
    <row r="1531" spans="1:11" ht="42" customHeight="1">
      <c r="A1531" s="4" t="s">
        <v>4049</v>
      </c>
      <c r="B1531" s="5" t="s">
        <v>4050</v>
      </c>
      <c r="C1531" s="5" t="s">
        <v>26</v>
      </c>
      <c r="D1531" s="5" t="s">
        <v>27</v>
      </c>
      <c r="E1531" s="5" t="s">
        <v>272</v>
      </c>
      <c r="F1531" s="9">
        <v>25</v>
      </c>
      <c r="G1531" s="9">
        <v>267</v>
      </c>
      <c r="H1531" s="5" t="s">
        <v>21</v>
      </c>
      <c r="I1531" s="5" t="s">
        <v>4051</v>
      </c>
      <c r="J1531" s="12" t="str">
        <f>HYPERLINK("https://www.boe.es/gazeta/dias/1803/03/29/pdfs/GMD-1803-25.pdf#page=7","Abrir facsímil")</f>
        <v>Abrir facsímil</v>
      </c>
      <c r="K1531" s="15" t="s">
        <v>23</v>
      </c>
    </row>
    <row r="1532" spans="1:11" ht="42" customHeight="1">
      <c r="A1532" s="4" t="s">
        <v>4049</v>
      </c>
      <c r="B1532" s="5" t="s">
        <v>4050</v>
      </c>
      <c r="C1532" s="5" t="s">
        <v>46</v>
      </c>
      <c r="D1532" s="5" t="s">
        <v>19</v>
      </c>
      <c r="E1532" s="5" t="s">
        <v>83</v>
      </c>
      <c r="F1532" s="9">
        <v>28</v>
      </c>
      <c r="G1532" s="9">
        <v>304</v>
      </c>
      <c r="H1532" s="5" t="s">
        <v>21</v>
      </c>
      <c r="I1532" s="5" t="s">
        <v>4052</v>
      </c>
      <c r="J1532" s="12" t="str">
        <f>HYPERLINK("https://www.boe.es/gazeta/dias/1803/04/08/pdfs/GMD-1803-28.pdf#page=8","Abrir facsímil")</f>
        <v>Abrir facsímil</v>
      </c>
      <c r="K1532" s="15" t="s">
        <v>23</v>
      </c>
    </row>
    <row r="1533" spans="1:11" ht="42" customHeight="1">
      <c r="A1533" s="4" t="s">
        <v>4049</v>
      </c>
      <c r="B1533" s="5" t="s">
        <v>4050</v>
      </c>
      <c r="C1533" s="5" t="s">
        <v>80</v>
      </c>
      <c r="D1533" s="5" t="s">
        <v>81</v>
      </c>
      <c r="E1533" s="5" t="s">
        <v>77</v>
      </c>
      <c r="F1533" s="9">
        <v>64</v>
      </c>
      <c r="G1533" s="9">
        <v>700</v>
      </c>
      <c r="H1533" s="5" t="s">
        <v>21</v>
      </c>
      <c r="I1533" s="5" t="s">
        <v>4053</v>
      </c>
      <c r="J1533" s="12" t="str">
        <f>HYPERLINK("https://www.boe.es/gazeta/dias/1803/08/12/pdfs/GMD-1803-64.pdf#page=8","Abrir facsímil")</f>
        <v>Abrir facsímil</v>
      </c>
      <c r="K1533" s="15" t="s">
        <v>23</v>
      </c>
    </row>
    <row r="1534" spans="1:11" ht="42" customHeight="1">
      <c r="A1534" s="4" t="s">
        <v>4049</v>
      </c>
      <c r="B1534" s="5" t="s">
        <v>4050</v>
      </c>
      <c r="C1534" s="5" t="s">
        <v>46</v>
      </c>
      <c r="D1534" s="5" t="s">
        <v>19</v>
      </c>
      <c r="E1534" s="5" t="s">
        <v>493</v>
      </c>
      <c r="F1534" s="9">
        <v>104</v>
      </c>
      <c r="G1534" s="9">
        <v>1116</v>
      </c>
      <c r="H1534" s="5" t="s">
        <v>21</v>
      </c>
      <c r="I1534" s="5" t="s">
        <v>4054</v>
      </c>
      <c r="J1534" s="12" t="str">
        <f>HYPERLINK("https://www.boe.es/gazeta/dias/1803/12/27/pdfs/GMD-1803-104.pdf#page=8","Abrir facsímil")</f>
        <v>Abrir facsímil</v>
      </c>
      <c r="K1534" s="15" t="s">
        <v>23</v>
      </c>
    </row>
    <row r="1535" spans="1:11" ht="42" customHeight="1">
      <c r="A1535" s="4" t="s">
        <v>4055</v>
      </c>
      <c r="B1535" s="5" t="s">
        <v>4056</v>
      </c>
      <c r="C1535" s="5" t="s">
        <v>80</v>
      </c>
      <c r="D1535" s="5" t="s">
        <v>81</v>
      </c>
      <c r="E1535" s="5" t="s">
        <v>403</v>
      </c>
      <c r="F1535" s="9">
        <v>91</v>
      </c>
      <c r="G1535" s="9">
        <v>980</v>
      </c>
      <c r="H1535" s="5" t="s">
        <v>21</v>
      </c>
      <c r="I1535" s="5" t="s">
        <v>4057</v>
      </c>
      <c r="J1535" s="12" t="str">
        <f>HYPERLINK("https://www.boe.es/gazeta/dias/1803/11/11/pdfs/GMD-1803-91.pdf#page=12","Abrir facsímil")</f>
        <v>Abrir facsímil</v>
      </c>
      <c r="K1535" s="15" t="s">
        <v>23</v>
      </c>
    </row>
    <row r="1536" spans="1:11" ht="42" customHeight="1">
      <c r="A1536" s="4" t="s">
        <v>4058</v>
      </c>
      <c r="B1536" s="5" t="s">
        <v>4059</v>
      </c>
      <c r="C1536" s="5" t="s">
        <v>26</v>
      </c>
      <c r="D1536" s="5" t="s">
        <v>27</v>
      </c>
      <c r="E1536" s="5" t="s">
        <v>523</v>
      </c>
      <c r="F1536" s="9">
        <v>101</v>
      </c>
      <c r="G1536" s="9">
        <v>1086</v>
      </c>
      <c r="H1536" s="5" t="s">
        <v>21</v>
      </c>
      <c r="I1536" s="5" t="s">
        <v>4060</v>
      </c>
      <c r="J1536" s="12" t="str">
        <f>HYPERLINK("https://www.boe.es/gazeta/dias/1803/12/16/pdfs/GMD-1803-101.pdf#page=10","Abrir facsímil")</f>
        <v>Abrir facsímil</v>
      </c>
      <c r="K1536" s="15" t="s">
        <v>23</v>
      </c>
    </row>
    <row r="1537" spans="1:11" ht="42" customHeight="1">
      <c r="A1537" s="4" t="s">
        <v>4061</v>
      </c>
      <c r="B1537" s="5" t="s">
        <v>4062</v>
      </c>
      <c r="C1537" s="5" t="s">
        <v>18</v>
      </c>
      <c r="D1537" s="5" t="s">
        <v>19</v>
      </c>
      <c r="E1537" s="5" t="s">
        <v>124</v>
      </c>
      <c r="F1537" s="9">
        <v>20</v>
      </c>
      <c r="G1537" s="9">
        <v>209</v>
      </c>
      <c r="H1537" s="5" t="s">
        <v>21</v>
      </c>
      <c r="I1537" s="5" t="s">
        <v>4063</v>
      </c>
      <c r="J1537" s="12" t="str">
        <f>HYPERLINK("https://www.boe.es/gazeta/dias/1803/03/11/pdfs/GMD-1803-20.pdf#page=5","Abrir facsímil")</f>
        <v>Abrir facsímil</v>
      </c>
      <c r="K1537" s="15" t="s">
        <v>23</v>
      </c>
    </row>
    <row r="1538" spans="1:11" ht="42" customHeight="1">
      <c r="A1538" s="4" t="s">
        <v>4064</v>
      </c>
      <c r="B1538" s="5" t="s">
        <v>4065</v>
      </c>
      <c r="C1538" s="5" t="s">
        <v>26</v>
      </c>
      <c r="D1538" s="5" t="s">
        <v>27</v>
      </c>
      <c r="E1538" s="5" t="s">
        <v>1846</v>
      </c>
      <c r="F1538" s="9">
        <v>89</v>
      </c>
      <c r="G1538" s="9">
        <v>959</v>
      </c>
      <c r="H1538" s="5" t="s">
        <v>21</v>
      </c>
      <c r="I1538" s="5" t="s">
        <v>4066</v>
      </c>
      <c r="J1538" s="12" t="str">
        <f>HYPERLINK("https://www.boe.es/gazeta/dias/1803/11/04/pdfs/GMD-1803-89.pdf#page=7","Abrir facsímil")</f>
        <v>Abrir facsímil</v>
      </c>
      <c r="K1538" s="15" t="s">
        <v>23</v>
      </c>
    </row>
    <row r="1539" spans="1:11" ht="42" customHeight="1">
      <c r="A1539" s="4" t="s">
        <v>4067</v>
      </c>
      <c r="B1539" s="5" t="s">
        <v>4068</v>
      </c>
      <c r="C1539" s="5" t="s">
        <v>26</v>
      </c>
      <c r="D1539" s="5" t="s">
        <v>27</v>
      </c>
      <c r="E1539" s="5" t="s">
        <v>1846</v>
      </c>
      <c r="F1539" s="9">
        <v>89</v>
      </c>
      <c r="G1539" s="9">
        <v>959</v>
      </c>
      <c r="H1539" s="5" t="s">
        <v>21</v>
      </c>
      <c r="I1539" s="5" t="s">
        <v>4069</v>
      </c>
      <c r="J1539" s="12" t="str">
        <f>HYPERLINK("https://www.boe.es/gazeta/dias/1803/11/04/pdfs/GMD-1803-89.pdf#page=7","Abrir facsímil")</f>
        <v>Abrir facsímil</v>
      </c>
      <c r="K1539" s="15" t="s">
        <v>23</v>
      </c>
    </row>
    <row r="1540" spans="1:11" ht="42" customHeight="1">
      <c r="A1540" s="4" t="s">
        <v>4070</v>
      </c>
      <c r="B1540" s="5" t="s">
        <v>4071</v>
      </c>
      <c r="C1540" s="5" t="s">
        <v>26</v>
      </c>
      <c r="D1540" s="5" t="s">
        <v>27</v>
      </c>
      <c r="E1540" s="5" t="s">
        <v>231</v>
      </c>
      <c r="F1540" s="9">
        <v>26</v>
      </c>
      <c r="G1540" s="9">
        <v>282</v>
      </c>
      <c r="H1540" s="5" t="s">
        <v>21</v>
      </c>
      <c r="I1540" s="5" t="s">
        <v>4072</v>
      </c>
      <c r="J1540" s="12" t="str">
        <f>HYPERLINK("https://www.boe.es/gazeta/dias/1803/04/01/pdfs/GMD-1803-26.pdf#page=10","Abrir facsímil")</f>
        <v>Abrir facsímil</v>
      </c>
      <c r="K1540" s="15" t="s">
        <v>23</v>
      </c>
    </row>
    <row r="1541" spans="1:11" ht="42" customHeight="1">
      <c r="A1541" s="4" t="s">
        <v>4073</v>
      </c>
      <c r="B1541" s="5" t="s">
        <v>4074</v>
      </c>
      <c r="C1541" s="5" t="s">
        <v>26</v>
      </c>
      <c r="D1541" s="5" t="s">
        <v>27</v>
      </c>
      <c r="E1541" s="5" t="s">
        <v>75</v>
      </c>
      <c r="F1541" s="9">
        <v>56</v>
      </c>
      <c r="G1541" s="9">
        <v>611</v>
      </c>
      <c r="H1541" s="5" t="s">
        <v>21</v>
      </c>
      <c r="I1541" s="5" t="s">
        <v>4075</v>
      </c>
      <c r="J1541" s="12" t="str">
        <f>HYPERLINK("https://www.boe.es/gazeta/dias/1803/07/15/pdfs/GMD-1803-56.pdf#page=7","Abrir facsímil")</f>
        <v>Abrir facsímil</v>
      </c>
      <c r="K1541" s="15" t="s">
        <v>23</v>
      </c>
    </row>
    <row r="1542" spans="1:11" ht="42" customHeight="1">
      <c r="A1542" s="4" t="s">
        <v>4076</v>
      </c>
      <c r="B1542" s="5" t="s">
        <v>4077</v>
      </c>
      <c r="C1542" s="5" t="s">
        <v>80</v>
      </c>
      <c r="D1542" s="5" t="s">
        <v>81</v>
      </c>
      <c r="E1542" s="5" t="s">
        <v>261</v>
      </c>
      <c r="F1542" s="9">
        <v>70</v>
      </c>
      <c r="G1542" s="9">
        <v>768</v>
      </c>
      <c r="H1542" s="5" t="s">
        <v>21</v>
      </c>
      <c r="I1542" s="5" t="s">
        <v>4078</v>
      </c>
      <c r="J1542" s="12" t="str">
        <f>HYPERLINK("https://www.boe.es/gazeta/dias/1803/09/02/pdfs/GMD-1803-70.pdf#page=8","Abrir facsímil")</f>
        <v>Abrir facsímil</v>
      </c>
      <c r="K1542" s="15" t="s">
        <v>23</v>
      </c>
    </row>
    <row r="1543" spans="1:11" ht="42" customHeight="1">
      <c r="A1543" s="4" t="s">
        <v>4079</v>
      </c>
      <c r="B1543" s="5" t="s">
        <v>4080</v>
      </c>
      <c r="C1543" s="5" t="s">
        <v>26</v>
      </c>
      <c r="D1543" s="5" t="s">
        <v>27</v>
      </c>
      <c r="E1543" s="5" t="s">
        <v>519</v>
      </c>
      <c r="F1543" s="9">
        <v>50</v>
      </c>
      <c r="G1543" s="9">
        <v>541</v>
      </c>
      <c r="H1543" s="5" t="s">
        <v>21</v>
      </c>
      <c r="I1543" s="5" t="s">
        <v>4081</v>
      </c>
      <c r="J1543" s="12" t="str">
        <f>HYPERLINK("https://www.boe.es/gazeta/dias/1803/06/24/pdfs/GMD-1803-50.pdf#page=9","Abrir facsímil")</f>
        <v>Abrir facsímil</v>
      </c>
      <c r="K1543" s="15" t="s">
        <v>23</v>
      </c>
    </row>
    <row r="1544" spans="1:11" ht="42" customHeight="1">
      <c r="A1544" s="4" t="s">
        <v>4082</v>
      </c>
      <c r="B1544" s="5" t="s">
        <v>4083</v>
      </c>
      <c r="C1544" s="5" t="s">
        <v>26</v>
      </c>
      <c r="D1544" s="5" t="s">
        <v>27</v>
      </c>
      <c r="E1544" s="5" t="s">
        <v>289</v>
      </c>
      <c r="F1544" s="9">
        <v>38</v>
      </c>
      <c r="G1544" s="9">
        <v>401</v>
      </c>
      <c r="H1544" s="5" t="s">
        <v>21</v>
      </c>
      <c r="I1544" s="5" t="s">
        <v>4084</v>
      </c>
      <c r="J1544" s="12" t="str">
        <f>HYPERLINK("https://www.boe.es/gazeta/dias/1803/05/13/pdfs/GMD-1803-38.pdf#page=9","Abrir facsímil")</f>
        <v>Abrir facsímil</v>
      </c>
      <c r="K1544" s="15" t="s">
        <v>23</v>
      </c>
    </row>
    <row r="1545" spans="1:11" ht="42" customHeight="1">
      <c r="A1545" s="4" t="s">
        <v>4085</v>
      </c>
      <c r="B1545" s="5" t="s">
        <v>4086</v>
      </c>
      <c r="C1545" s="5" t="s">
        <v>26</v>
      </c>
      <c r="D1545" s="5" t="s">
        <v>27</v>
      </c>
      <c r="E1545" s="5" t="s">
        <v>321</v>
      </c>
      <c r="F1545" s="9">
        <v>94</v>
      </c>
      <c r="G1545" s="9">
        <v>1010</v>
      </c>
      <c r="H1545" s="5" t="s">
        <v>21</v>
      </c>
      <c r="I1545" s="5" t="s">
        <v>4087</v>
      </c>
      <c r="J1545" s="12" t="str">
        <f>HYPERLINK("https://www.boe.es/gazeta/dias/1803/11/22/pdfs/GMD-1803-94.pdf#page=10","Abrir facsímil")</f>
        <v>Abrir facsímil</v>
      </c>
      <c r="K1545" s="15" t="s">
        <v>23</v>
      </c>
    </row>
    <row r="1546" spans="1:11" ht="42" customHeight="1">
      <c r="A1546" s="4" t="s">
        <v>4088</v>
      </c>
      <c r="B1546" s="5" t="s">
        <v>4089</v>
      </c>
      <c r="C1546" s="5" t="s">
        <v>51</v>
      </c>
      <c r="D1546" s="5" t="s">
        <v>52</v>
      </c>
      <c r="E1546" s="5" t="s">
        <v>189</v>
      </c>
      <c r="F1546" s="9">
        <v>9</v>
      </c>
      <c r="G1546" s="9">
        <v>93</v>
      </c>
      <c r="H1546" s="5" t="s">
        <v>21</v>
      </c>
      <c r="I1546" s="5" t="s">
        <v>4090</v>
      </c>
      <c r="J1546" s="12" t="str">
        <f>HYPERLINK("https://www.boe.es/gazeta/dias/1803/02/01/pdfs/GMD-1803-9.pdf#page=9","Abrir facsímil")</f>
        <v>Abrir facsímil</v>
      </c>
      <c r="K1546" s="15" t="s">
        <v>23</v>
      </c>
    </row>
    <row r="1547" spans="1:11" ht="42" customHeight="1">
      <c r="A1547" s="4" t="s">
        <v>4091</v>
      </c>
      <c r="B1547" s="5" t="s">
        <v>4092</v>
      </c>
      <c r="C1547" s="5" t="s">
        <v>26</v>
      </c>
      <c r="D1547" s="5" t="s">
        <v>27</v>
      </c>
      <c r="E1547" s="5" t="s">
        <v>278</v>
      </c>
      <c r="F1547" s="9">
        <v>46</v>
      </c>
      <c r="G1547" s="9">
        <v>486</v>
      </c>
      <c r="H1547" s="5" t="s">
        <v>21</v>
      </c>
      <c r="I1547" s="5" t="s">
        <v>4093</v>
      </c>
      <c r="J1547" s="12" t="str">
        <f>HYPERLINK("https://www.boe.es/gazeta/dias/1803/06/10/pdfs/GMD-1803-46.pdf#page=10","Abrir facsímil")</f>
        <v>Abrir facsímil</v>
      </c>
      <c r="K1547" s="15" t="s">
        <v>23</v>
      </c>
    </row>
    <row r="1548" spans="1:11" ht="42" customHeight="1">
      <c r="A1548" s="4" t="s">
        <v>4094</v>
      </c>
      <c r="B1548" s="5" t="s">
        <v>4095</v>
      </c>
      <c r="C1548" s="5" t="s">
        <v>40</v>
      </c>
      <c r="D1548" s="5" t="s">
        <v>41</v>
      </c>
      <c r="E1548" s="5" t="s">
        <v>293</v>
      </c>
      <c r="F1548" s="9">
        <v>45</v>
      </c>
      <c r="G1548" s="9">
        <v>466</v>
      </c>
      <c r="H1548" s="5" t="s">
        <v>21</v>
      </c>
      <c r="I1548" s="5" t="s">
        <v>4096</v>
      </c>
      <c r="J1548" s="12" t="str">
        <f>HYPERLINK("https://www.boe.es/gazeta/dias/1803/06/07/pdfs/GMD-1803-45.pdf#page=2","Abrir facsímil")</f>
        <v>Abrir facsímil</v>
      </c>
      <c r="K1548" s="15" t="s">
        <v>23</v>
      </c>
    </row>
    <row r="1549" spans="1:11" ht="42" customHeight="1">
      <c r="A1549" s="4" t="s">
        <v>4097</v>
      </c>
      <c r="B1549" s="5" t="s">
        <v>4097</v>
      </c>
      <c r="C1549" s="5" t="s">
        <v>40</v>
      </c>
      <c r="D1549" s="5" t="s">
        <v>41</v>
      </c>
      <c r="E1549" s="5" t="s">
        <v>160</v>
      </c>
      <c r="F1549" s="9">
        <v>81</v>
      </c>
      <c r="G1549" s="9">
        <v>869</v>
      </c>
      <c r="H1549" s="5" t="s">
        <v>21</v>
      </c>
      <c r="I1549" s="5" t="s">
        <v>4098</v>
      </c>
      <c r="J1549" s="12" t="str">
        <f>HYPERLINK("https://www.boe.es/gazeta/dias/1803/10/07/pdfs/GMD-1803-81.pdf#page=5","Abrir facsímil")</f>
        <v>Abrir facsímil</v>
      </c>
      <c r="K1549" s="15" t="s">
        <v>23</v>
      </c>
    </row>
    <row r="1550" spans="1:11" ht="42" customHeight="1">
      <c r="A1550" s="4" t="s">
        <v>4099</v>
      </c>
      <c r="B1550" s="5" t="s">
        <v>4099</v>
      </c>
      <c r="C1550" s="5" t="s">
        <v>26</v>
      </c>
      <c r="D1550" s="5" t="s">
        <v>27</v>
      </c>
      <c r="E1550" s="5" t="s">
        <v>57</v>
      </c>
      <c r="F1550" s="9">
        <v>51</v>
      </c>
      <c r="G1550" s="9">
        <v>552</v>
      </c>
      <c r="H1550" s="5" t="s">
        <v>21</v>
      </c>
      <c r="I1550" s="5" t="s">
        <v>4100</v>
      </c>
      <c r="J1550" s="12" t="str">
        <f>HYPERLINK("https://www.boe.es/gazeta/dias/1803/06/28/pdfs/GMD-1803-51.pdf#page=8","Abrir facsímil")</f>
        <v>Abrir facsímil</v>
      </c>
      <c r="K1550" s="15" t="s">
        <v>23</v>
      </c>
    </row>
    <row r="1551" spans="1:11" ht="42" customHeight="1">
      <c r="A1551" s="4" t="s">
        <v>4101</v>
      </c>
      <c r="B1551" s="5" t="s">
        <v>4101</v>
      </c>
      <c r="C1551" s="5" t="s">
        <v>51</v>
      </c>
      <c r="D1551" s="5" t="s">
        <v>52</v>
      </c>
      <c r="E1551" s="5" t="s">
        <v>317</v>
      </c>
      <c r="F1551" s="9">
        <v>12</v>
      </c>
      <c r="G1551" s="9">
        <v>120</v>
      </c>
      <c r="H1551" s="5" t="s">
        <v>21</v>
      </c>
      <c r="I1551" s="5" t="s">
        <v>4102</v>
      </c>
      <c r="J1551" s="12" t="str">
        <f>HYPERLINK("https://www.boe.es/gazeta/dias/1803/02/11/pdfs/GMD-1803-12.pdf#page=8","Abrir facsímil")</f>
        <v>Abrir facsímil</v>
      </c>
      <c r="K1551" s="15" t="s">
        <v>23</v>
      </c>
    </row>
    <row r="1552" spans="1:11" ht="42" customHeight="1">
      <c r="A1552" s="4" t="s">
        <v>4103</v>
      </c>
      <c r="B1552" s="5" t="s">
        <v>4103</v>
      </c>
      <c r="C1552" s="5" t="s">
        <v>51</v>
      </c>
      <c r="D1552" s="5" t="s">
        <v>52</v>
      </c>
      <c r="E1552" s="5" t="s">
        <v>303</v>
      </c>
      <c r="F1552" s="9">
        <v>8</v>
      </c>
      <c r="G1552" s="9">
        <v>80</v>
      </c>
      <c r="H1552" s="5" t="s">
        <v>21</v>
      </c>
      <c r="I1552" s="5" t="s">
        <v>4104</v>
      </c>
      <c r="J1552" s="12" t="str">
        <f>HYPERLINK("https://www.boe.es/gazeta/dias/1803/01/28/pdfs/GMD-1803-8.pdf#page=8","Abrir facsímil")</f>
        <v>Abrir facsímil</v>
      </c>
      <c r="K1552" s="15" t="s">
        <v>23</v>
      </c>
    </row>
    <row r="1553" spans="1:11" ht="42" customHeight="1">
      <c r="A1553" s="4" t="s">
        <v>4103</v>
      </c>
      <c r="B1553" s="5" t="s">
        <v>4103</v>
      </c>
      <c r="C1553" s="5" t="s">
        <v>46</v>
      </c>
      <c r="D1553" s="5" t="s">
        <v>19</v>
      </c>
      <c r="E1553" s="5" t="s">
        <v>300</v>
      </c>
      <c r="F1553" s="9">
        <v>96</v>
      </c>
      <c r="G1553" s="9">
        <v>1036</v>
      </c>
      <c r="H1553" s="5" t="s">
        <v>21</v>
      </c>
      <c r="I1553" s="5" t="s">
        <v>4105</v>
      </c>
      <c r="J1553" s="12" t="str">
        <f>HYPERLINK("https://www.boe.es/gazeta/dias/1803/11/29/pdfs/GMD-1803-96.pdf#page=12","Abrir facsímil")</f>
        <v>Abrir facsímil</v>
      </c>
      <c r="K1553" s="15" t="s">
        <v>23</v>
      </c>
    </row>
    <row r="1554" spans="1:11" ht="42" customHeight="1">
      <c r="A1554" s="4" t="s">
        <v>4106</v>
      </c>
      <c r="B1554" s="5" t="s">
        <v>4106</v>
      </c>
      <c r="C1554" s="5" t="s">
        <v>46</v>
      </c>
      <c r="D1554" s="5" t="s">
        <v>19</v>
      </c>
      <c r="E1554" s="5" t="s">
        <v>336</v>
      </c>
      <c r="F1554" s="9">
        <v>105</v>
      </c>
      <c r="G1554" s="9">
        <v>1121</v>
      </c>
      <c r="H1554" s="5" t="s">
        <v>21</v>
      </c>
      <c r="I1554" s="5" t="s">
        <v>4107</v>
      </c>
      <c r="J1554" s="12" t="str">
        <f>HYPERLINK("https://www.boe.es/gazeta/dias/1803/12/30/pdfs/GMD-1803-105.pdf#page=5","Abrir facsímil")</f>
        <v>Abrir facsímil</v>
      </c>
      <c r="K1554" s="15" t="s">
        <v>23</v>
      </c>
    </row>
    <row r="1555" spans="1:11" ht="42" customHeight="1">
      <c r="A1555" s="4" t="s">
        <v>4108</v>
      </c>
      <c r="B1555" s="5" t="s">
        <v>4109</v>
      </c>
      <c r="C1555" s="5" t="s">
        <v>40</v>
      </c>
      <c r="D1555" s="5" t="s">
        <v>41</v>
      </c>
      <c r="E1555" s="5" t="s">
        <v>606</v>
      </c>
      <c r="F1555" s="9">
        <v>47</v>
      </c>
      <c r="G1555" s="9">
        <v>489</v>
      </c>
      <c r="H1555" s="5" t="s">
        <v>21</v>
      </c>
      <c r="I1555" s="5" t="s">
        <v>4110</v>
      </c>
      <c r="J1555" s="12" t="str">
        <f>HYPERLINK("https://www.boe.es/gazeta/dias/1803/06/14/pdfs/GMD-1803-47.pdf#page=1","Abrir facsímil")</f>
        <v>Abrir facsímil</v>
      </c>
      <c r="K1555" s="15" t="s">
        <v>23</v>
      </c>
    </row>
    <row r="1556" spans="1:11" ht="42" customHeight="1">
      <c r="A1556" s="4" t="s">
        <v>4111</v>
      </c>
      <c r="B1556" s="5" t="s">
        <v>4112</v>
      </c>
      <c r="C1556" s="5" t="s">
        <v>26</v>
      </c>
      <c r="D1556" s="5" t="s">
        <v>27</v>
      </c>
      <c r="E1556" s="5" t="s">
        <v>501</v>
      </c>
      <c r="F1556" s="9">
        <v>22</v>
      </c>
      <c r="G1556" s="9">
        <v>236</v>
      </c>
      <c r="H1556" s="5" t="s">
        <v>21</v>
      </c>
      <c r="I1556" s="5" t="s">
        <v>4113</v>
      </c>
      <c r="J1556" s="12" t="str">
        <f>HYPERLINK("https://www.boe.es/gazeta/dias/1803/03/18/pdfs/GMD-1803-22.pdf#page=8","Abrir facsímil")</f>
        <v>Abrir facsímil</v>
      </c>
      <c r="K1556" s="15" t="s">
        <v>23</v>
      </c>
    </row>
    <row r="1557" spans="1:11" ht="42" customHeight="1">
      <c r="A1557" s="4" t="s">
        <v>4114</v>
      </c>
      <c r="B1557" s="5" t="s">
        <v>4114</v>
      </c>
      <c r="C1557" s="5" t="s">
        <v>51</v>
      </c>
      <c r="D1557" s="5" t="s">
        <v>52</v>
      </c>
      <c r="E1557" s="5" t="s">
        <v>1279</v>
      </c>
      <c r="F1557" s="9">
        <v>3</v>
      </c>
      <c r="G1557" s="9">
        <v>27</v>
      </c>
      <c r="H1557" s="5" t="s">
        <v>21</v>
      </c>
      <c r="I1557" s="5" t="s">
        <v>4115</v>
      </c>
      <c r="J1557" s="12" t="str">
        <f>HYPERLINK("https://www.boe.es/gazeta/dias/1803/01/11/pdfs/GMD-1803-3.pdf#page=7","Abrir facsímil")</f>
        <v>Abrir facsímil</v>
      </c>
      <c r="K1557" s="15" t="s">
        <v>23</v>
      </c>
    </row>
    <row r="1558" spans="1:11" ht="42" customHeight="1">
      <c r="A1558" s="4" t="s">
        <v>4116</v>
      </c>
      <c r="B1558" s="5" t="s">
        <v>4117</v>
      </c>
      <c r="C1558" s="5" t="s">
        <v>46</v>
      </c>
      <c r="D1558" s="5" t="s">
        <v>19</v>
      </c>
      <c r="E1558" s="5" t="s">
        <v>258</v>
      </c>
      <c r="F1558" s="9">
        <v>7</v>
      </c>
      <c r="G1558" s="9">
        <v>72</v>
      </c>
      <c r="H1558" s="5" t="s">
        <v>21</v>
      </c>
      <c r="I1558" s="5" t="s">
        <v>4118</v>
      </c>
      <c r="J1558" s="12" t="str">
        <f>HYPERLINK("https://www.boe.es/gazeta/dias/1803/01/25/pdfs/GMD-1803-7.pdf#page=12","Abrir facsímil")</f>
        <v>Abrir facsímil</v>
      </c>
      <c r="K1558" s="15" t="s">
        <v>23</v>
      </c>
    </row>
    <row r="1559" spans="1:11" ht="42" customHeight="1">
      <c r="A1559" s="4" t="s">
        <v>4119</v>
      </c>
      <c r="B1559" s="5" t="s">
        <v>4120</v>
      </c>
      <c r="C1559" s="5" t="s">
        <v>26</v>
      </c>
      <c r="D1559" s="5" t="s">
        <v>27</v>
      </c>
      <c r="E1559" s="5" t="s">
        <v>407</v>
      </c>
      <c r="F1559" s="9">
        <v>82</v>
      </c>
      <c r="G1559" s="9">
        <v>885</v>
      </c>
      <c r="H1559" s="5" t="s">
        <v>21</v>
      </c>
      <c r="I1559" s="5" t="s">
        <v>4121</v>
      </c>
      <c r="J1559" s="12" t="str">
        <f>HYPERLINK("https://www.boe.es/gazeta/dias/1803/10/11/pdfs/GMD-1803-82.pdf#page=9","Abrir facsímil")</f>
        <v>Abrir facsímil</v>
      </c>
      <c r="K1559" s="15" t="s">
        <v>23</v>
      </c>
    </row>
    <row r="1560" spans="1:11" ht="42" customHeight="1">
      <c r="A1560" s="4" t="s">
        <v>4122</v>
      </c>
      <c r="B1560" s="5" t="s">
        <v>4122</v>
      </c>
      <c r="C1560" s="5" t="s">
        <v>46</v>
      </c>
      <c r="D1560" s="5" t="s">
        <v>19</v>
      </c>
      <c r="E1560" s="5" t="s">
        <v>160</v>
      </c>
      <c r="F1560" s="9">
        <v>81</v>
      </c>
      <c r="G1560" s="9">
        <v>875</v>
      </c>
      <c r="H1560" s="5" t="s">
        <v>21</v>
      </c>
      <c r="I1560" s="5" t="s">
        <v>4123</v>
      </c>
      <c r="J1560" s="12" t="str">
        <f>HYPERLINK("https://www.boe.es/gazeta/dias/1803/10/07/pdfs/GMD-1803-81.pdf#page=11","Abrir facsímil")</f>
        <v>Abrir facsímil</v>
      </c>
      <c r="K1560" s="15" t="s">
        <v>23</v>
      </c>
    </row>
    <row r="1561" spans="1:11" ht="42" customHeight="1">
      <c r="A1561" s="4" t="s">
        <v>4124</v>
      </c>
      <c r="B1561" s="5" t="s">
        <v>4124</v>
      </c>
      <c r="C1561" s="5" t="s">
        <v>26</v>
      </c>
      <c r="D1561" s="5" t="s">
        <v>27</v>
      </c>
      <c r="E1561" s="5" t="s">
        <v>199</v>
      </c>
      <c r="F1561" s="9">
        <v>88</v>
      </c>
      <c r="G1561" s="9">
        <v>946</v>
      </c>
      <c r="H1561" s="5" t="s">
        <v>21</v>
      </c>
      <c r="I1561" s="5" t="s">
        <v>4125</v>
      </c>
      <c r="J1561" s="12" t="str">
        <f>HYPERLINK("https://www.boe.es/gazeta/dias/1803/11/01/pdfs/GMD-1803-88.pdf#page=6","Abrir facsímil")</f>
        <v>Abrir facsímil</v>
      </c>
      <c r="K1561" s="15" t="s">
        <v>23</v>
      </c>
    </row>
    <row r="1562" spans="1:11" ht="42" customHeight="1">
      <c r="A1562" s="4" t="s">
        <v>4126</v>
      </c>
      <c r="B1562" s="5" t="s">
        <v>4126</v>
      </c>
      <c r="C1562" s="5" t="s">
        <v>18</v>
      </c>
      <c r="D1562" s="5" t="s">
        <v>19</v>
      </c>
      <c r="E1562" s="5" t="s">
        <v>399</v>
      </c>
      <c r="F1562" s="9">
        <v>95</v>
      </c>
      <c r="G1562" s="9">
        <v>1017</v>
      </c>
      <c r="H1562" s="5" t="s">
        <v>21</v>
      </c>
      <c r="I1562" s="5" t="s">
        <v>4127</v>
      </c>
      <c r="J1562" s="12" t="str">
        <f>HYPERLINK("https://www.boe.es/gazeta/dias/1803/11/25/pdfs/GMD-1803-95.pdf#page=5","Abrir facsímil")</f>
        <v>Abrir facsímil</v>
      </c>
      <c r="K1562" s="15" t="s">
        <v>23</v>
      </c>
    </row>
    <row r="1563" spans="1:11" ht="42" customHeight="1">
      <c r="A1563" s="4" t="s">
        <v>4128</v>
      </c>
      <c r="B1563" s="5" t="s">
        <v>4129</v>
      </c>
      <c r="C1563" s="5" t="s">
        <v>18</v>
      </c>
      <c r="D1563" s="5" t="s">
        <v>19</v>
      </c>
      <c r="E1563" s="5" t="s">
        <v>160</v>
      </c>
      <c r="F1563" s="9">
        <v>81</v>
      </c>
      <c r="G1563" s="9">
        <v>875</v>
      </c>
      <c r="H1563" s="5" t="s">
        <v>21</v>
      </c>
      <c r="I1563" s="5" t="s">
        <v>4130</v>
      </c>
      <c r="J1563" s="12" t="str">
        <f>HYPERLINK("https://www.boe.es/gazeta/dias/1803/10/07/pdfs/GMD-1803-81.pdf#page=11","Abrir facsímil")</f>
        <v>Abrir facsímil</v>
      </c>
      <c r="K1563" s="15" t="s">
        <v>23</v>
      </c>
    </row>
    <row r="1564" spans="1:11" ht="42" customHeight="1">
      <c r="A1564" s="4" t="s">
        <v>4131</v>
      </c>
      <c r="B1564" s="5" t="s">
        <v>4132</v>
      </c>
      <c r="C1564" s="5" t="s">
        <v>18</v>
      </c>
      <c r="D1564" s="5" t="s">
        <v>19</v>
      </c>
      <c r="E1564" s="5" t="s">
        <v>1915</v>
      </c>
      <c r="F1564" s="9">
        <v>44</v>
      </c>
      <c r="G1564" s="9">
        <v>459</v>
      </c>
      <c r="H1564" s="5" t="s">
        <v>21</v>
      </c>
      <c r="I1564" s="5" t="s">
        <v>4133</v>
      </c>
      <c r="J1564" s="12" t="str">
        <f>HYPERLINK("https://www.boe.es/gazeta/dias/1803/06/03/pdfs/GMD-1803-44.pdf#page=7","Abrir facsímil")</f>
        <v>Abrir facsímil</v>
      </c>
      <c r="K1564" s="15" t="s">
        <v>23</v>
      </c>
    </row>
    <row r="1565" spans="1:11" ht="42" customHeight="1">
      <c r="A1565" s="4" t="s">
        <v>4134</v>
      </c>
      <c r="B1565" s="5" t="s">
        <v>4135</v>
      </c>
      <c r="C1565" s="5" t="s">
        <v>51</v>
      </c>
      <c r="D1565" s="5" t="s">
        <v>52</v>
      </c>
      <c r="E1565" s="5" t="s">
        <v>124</v>
      </c>
      <c r="F1565" s="9">
        <v>20</v>
      </c>
      <c r="G1565" s="9">
        <v>210</v>
      </c>
      <c r="H1565" s="5" t="s">
        <v>21</v>
      </c>
      <c r="I1565" s="5" t="s">
        <v>4136</v>
      </c>
      <c r="J1565" s="12" t="str">
        <f>HYPERLINK("https://www.boe.es/gazeta/dias/1803/03/11/pdfs/GMD-1803-20.pdf#page=6","Abrir facsímil")</f>
        <v>Abrir facsímil</v>
      </c>
      <c r="K1565" s="15" t="s">
        <v>23</v>
      </c>
    </row>
    <row r="1566" spans="1:11" ht="42" customHeight="1">
      <c r="A1566" s="4" t="s">
        <v>4137</v>
      </c>
      <c r="B1566" s="5" t="s">
        <v>4138</v>
      </c>
      <c r="C1566" s="5" t="s">
        <v>18</v>
      </c>
      <c r="D1566" s="5" t="s">
        <v>19</v>
      </c>
      <c r="E1566" s="5" t="s">
        <v>514</v>
      </c>
      <c r="F1566" s="9">
        <v>42</v>
      </c>
      <c r="G1566" s="9">
        <v>440</v>
      </c>
      <c r="H1566" s="5" t="s">
        <v>21</v>
      </c>
      <c r="I1566" s="5" t="s">
        <v>4139</v>
      </c>
      <c r="J1566" s="12" t="str">
        <f>HYPERLINK("https://www.boe.es/gazeta/dias/1803/05/27/pdfs/GMD-1803-42.pdf#page=8","Abrir facsímil")</f>
        <v>Abrir facsímil</v>
      </c>
      <c r="K1566" s="15" t="s">
        <v>23</v>
      </c>
    </row>
    <row r="1567" spans="1:11" ht="42" customHeight="1">
      <c r="A1567" s="4" t="s">
        <v>4140</v>
      </c>
      <c r="B1567" s="5" t="s">
        <v>4141</v>
      </c>
      <c r="C1567" s="5" t="s">
        <v>26</v>
      </c>
      <c r="D1567" s="5" t="s">
        <v>27</v>
      </c>
      <c r="E1567" s="5" t="s">
        <v>191</v>
      </c>
      <c r="F1567" s="9">
        <v>34</v>
      </c>
      <c r="G1567" s="9">
        <v>358</v>
      </c>
      <c r="H1567" s="5" t="s">
        <v>21</v>
      </c>
      <c r="I1567" s="5" t="s">
        <v>4142</v>
      </c>
      <c r="J1567" s="12" t="str">
        <f>HYPERLINK("https://www.boe.es/gazeta/dias/1803/04/29/pdfs/GMD-1803-34.pdf#page=6","Abrir facsímil")</f>
        <v>Abrir facsímil</v>
      </c>
      <c r="K1567" s="15" t="s">
        <v>23</v>
      </c>
    </row>
    <row r="1568" spans="1:11" ht="42" customHeight="1">
      <c r="A1568" s="4" t="s">
        <v>4143</v>
      </c>
      <c r="B1568" s="5" t="s">
        <v>4144</v>
      </c>
      <c r="C1568" s="5" t="s">
        <v>40</v>
      </c>
      <c r="D1568" s="5" t="s">
        <v>41</v>
      </c>
      <c r="E1568" s="5" t="s">
        <v>407</v>
      </c>
      <c r="F1568" s="9">
        <v>82</v>
      </c>
      <c r="G1568" s="9">
        <v>886</v>
      </c>
      <c r="H1568" s="5" t="s">
        <v>21</v>
      </c>
      <c r="I1568" s="5" t="s">
        <v>4145</v>
      </c>
      <c r="J1568" s="12" t="str">
        <f>HYPERLINK("https://www.boe.es/gazeta/dias/1803/10/11/pdfs/GMD-1803-82.pdf#page=10","Abrir facsímil")</f>
        <v>Abrir facsímil</v>
      </c>
      <c r="K1568" s="15" t="s">
        <v>23</v>
      </c>
    </row>
    <row r="1569" spans="1:11" ht="42" customHeight="1">
      <c r="A1569" s="4" t="s">
        <v>4146</v>
      </c>
      <c r="B1569" s="5" t="s">
        <v>4147</v>
      </c>
      <c r="C1569" s="5" t="s">
        <v>80</v>
      </c>
      <c r="D1569" s="5" t="s">
        <v>81</v>
      </c>
      <c r="E1569" s="5" t="s">
        <v>293</v>
      </c>
      <c r="F1569" s="9">
        <v>45</v>
      </c>
      <c r="G1569" s="9">
        <v>476</v>
      </c>
      <c r="H1569" s="5" t="s">
        <v>21</v>
      </c>
      <c r="I1569" s="5" t="s">
        <v>4148</v>
      </c>
      <c r="J1569" s="12" t="str">
        <f>HYPERLINK("https://www.boe.es/gazeta/dias/1803/06/07/pdfs/GMD-1803-45.pdf#page=12","Abrir facsímil")</f>
        <v>Abrir facsímil</v>
      </c>
      <c r="K1569" s="15" t="s">
        <v>23</v>
      </c>
    </row>
    <row r="1570" spans="1:11" ht="42" customHeight="1">
      <c r="A1570" s="4" t="s">
        <v>4149</v>
      </c>
      <c r="B1570" s="5" t="s">
        <v>4149</v>
      </c>
      <c r="C1570" s="5" t="s">
        <v>40</v>
      </c>
      <c r="D1570" s="5" t="s">
        <v>41</v>
      </c>
      <c r="E1570" s="5" t="s">
        <v>203</v>
      </c>
      <c r="F1570" s="9">
        <v>32</v>
      </c>
      <c r="G1570" s="9">
        <v>333</v>
      </c>
      <c r="H1570" s="5" t="s">
        <v>21</v>
      </c>
      <c r="I1570" s="5" t="s">
        <v>4150</v>
      </c>
      <c r="J1570" s="12" t="str">
        <f>HYPERLINK("https://www.boe.es/gazeta/dias/1803/04/22/pdfs/GMD-1803-32.pdf#page=5","Abrir facsímil")</f>
        <v>Abrir facsímil</v>
      </c>
      <c r="K1570" s="15" t="s">
        <v>23</v>
      </c>
    </row>
    <row r="1571" spans="1:11" ht="42" customHeight="1">
      <c r="A1571" s="4" t="s">
        <v>4151</v>
      </c>
      <c r="B1571" s="5" t="s">
        <v>4152</v>
      </c>
      <c r="C1571" s="5" t="s">
        <v>40</v>
      </c>
      <c r="D1571" s="5" t="s">
        <v>41</v>
      </c>
      <c r="E1571" s="5" t="s">
        <v>203</v>
      </c>
      <c r="F1571" s="9">
        <v>32</v>
      </c>
      <c r="G1571" s="9">
        <v>334</v>
      </c>
      <c r="H1571" s="5" t="s">
        <v>21</v>
      </c>
      <c r="I1571" s="5" t="s">
        <v>4153</v>
      </c>
      <c r="J1571" s="12" t="str">
        <f>HYPERLINK("https://www.boe.es/gazeta/dias/1803/04/22/pdfs/GMD-1803-32.pdf#page=6","Abrir facsímil")</f>
        <v>Abrir facsímil</v>
      </c>
      <c r="K1571" s="15" t="s">
        <v>23</v>
      </c>
    </row>
    <row r="1572" spans="1:11" ht="42" customHeight="1">
      <c r="A1572" s="4" t="s">
        <v>4154</v>
      </c>
      <c r="B1572" s="5" t="s">
        <v>4154</v>
      </c>
      <c r="C1572" s="5" t="s">
        <v>26</v>
      </c>
      <c r="D1572" s="5" t="s">
        <v>27</v>
      </c>
      <c r="E1572" s="5" t="s">
        <v>214</v>
      </c>
      <c r="F1572" s="9">
        <v>17</v>
      </c>
      <c r="G1572" s="9">
        <v>177</v>
      </c>
      <c r="H1572" s="5" t="s">
        <v>21</v>
      </c>
      <c r="I1572" s="5" t="s">
        <v>4155</v>
      </c>
      <c r="J1572" s="12" t="str">
        <f>HYPERLINK("https://www.boe.es/gazeta/dias/1803/03/01/pdfs/GMD-1803-17.pdf#page=9","Abrir facsímil")</f>
        <v>Abrir facsímil</v>
      </c>
      <c r="K1572" s="15" t="s">
        <v>23</v>
      </c>
    </row>
    <row r="1573" spans="1:11" ht="42" customHeight="1">
      <c r="A1573" s="4" t="s">
        <v>4156</v>
      </c>
      <c r="B1573" s="5" t="s">
        <v>4156</v>
      </c>
      <c r="C1573" s="5" t="s">
        <v>26</v>
      </c>
      <c r="D1573" s="5" t="s">
        <v>27</v>
      </c>
      <c r="E1573" s="5" t="s">
        <v>571</v>
      </c>
      <c r="F1573" s="9">
        <v>103</v>
      </c>
      <c r="G1573" s="9">
        <v>1103</v>
      </c>
      <c r="H1573" s="5" t="s">
        <v>21</v>
      </c>
      <c r="I1573" s="5" t="s">
        <v>4157</v>
      </c>
      <c r="J1573" s="12" t="str">
        <f>HYPERLINK("https://www.boe.es/gazeta/dias/1803/12/23/pdfs/GMD-1803-103.pdf#page=3","Abrir facsímil")</f>
        <v>Abrir facsímil</v>
      </c>
      <c r="K1573" s="15" t="s">
        <v>23</v>
      </c>
    </row>
    <row r="1574" spans="1:11" ht="42" customHeight="1">
      <c r="A1574" s="4" t="s">
        <v>4158</v>
      </c>
      <c r="B1574" s="5" t="s">
        <v>4158</v>
      </c>
      <c r="C1574" s="5" t="s">
        <v>40</v>
      </c>
      <c r="D1574" s="5" t="s">
        <v>41</v>
      </c>
      <c r="E1574" s="5" t="s">
        <v>164</v>
      </c>
      <c r="F1574" s="9">
        <v>84</v>
      </c>
      <c r="G1574" s="9">
        <v>899</v>
      </c>
      <c r="H1574" s="5" t="s">
        <v>21</v>
      </c>
      <c r="I1574" s="5" t="s">
        <v>4159</v>
      </c>
      <c r="J1574" s="12" t="str">
        <f>HYPERLINK("https://www.boe.es/gazeta/dias/1803/10/18/pdfs/GMD-1803-84.pdf#page=3","Abrir facsímil")</f>
        <v>Abrir facsímil</v>
      </c>
      <c r="K1574" s="15" t="s">
        <v>23</v>
      </c>
    </row>
    <row r="1575" spans="1:11" ht="42" customHeight="1">
      <c r="A1575" s="4" t="s">
        <v>4160</v>
      </c>
      <c r="B1575" s="5" t="s">
        <v>4161</v>
      </c>
      <c r="C1575" s="5" t="s">
        <v>80</v>
      </c>
      <c r="D1575" s="5" t="s">
        <v>81</v>
      </c>
      <c r="E1575" s="5" t="s">
        <v>99</v>
      </c>
      <c r="F1575" s="9">
        <v>29</v>
      </c>
      <c r="G1575" s="9">
        <v>312</v>
      </c>
      <c r="H1575" s="5" t="s">
        <v>21</v>
      </c>
      <c r="I1575" s="5" t="s">
        <v>4162</v>
      </c>
      <c r="J1575" s="12" t="str">
        <f>HYPERLINK("https://www.boe.es/gazeta/dias/1803/04/12/pdfs/GMD-1803-29.pdf#page=8","Abrir facsímil")</f>
        <v>Abrir facsímil</v>
      </c>
      <c r="K1575" s="15" t="s">
        <v>23</v>
      </c>
    </row>
    <row r="1576" spans="1:11" ht="42" customHeight="1">
      <c r="A1576" s="4" t="s">
        <v>4163</v>
      </c>
      <c r="B1576" s="5" t="s">
        <v>4164</v>
      </c>
      <c r="C1576" s="5" t="s">
        <v>40</v>
      </c>
      <c r="D1576" s="5" t="s">
        <v>41</v>
      </c>
      <c r="E1576" s="5" t="s">
        <v>309</v>
      </c>
      <c r="F1576" s="9">
        <v>37</v>
      </c>
      <c r="G1576" s="9">
        <v>379</v>
      </c>
      <c r="H1576" s="5" t="s">
        <v>21</v>
      </c>
      <c r="I1576" s="5" t="s">
        <v>4165</v>
      </c>
      <c r="J1576" s="12" t="str">
        <f>HYPERLINK("https://www.boe.es/gazeta/dias/1803/05/10/pdfs/GMD-1803-37.pdf#page=3","Abrir facsímil")</f>
        <v>Abrir facsímil</v>
      </c>
      <c r="K1576" s="15" t="s">
        <v>23</v>
      </c>
    </row>
    <row r="1577" spans="1:11" ht="42" customHeight="1">
      <c r="A1577" s="4" t="s">
        <v>4166</v>
      </c>
      <c r="B1577" s="5" t="s">
        <v>4167</v>
      </c>
      <c r="C1577" s="5" t="s">
        <v>40</v>
      </c>
      <c r="D1577" s="5" t="s">
        <v>41</v>
      </c>
      <c r="E1577" s="5" t="s">
        <v>619</v>
      </c>
      <c r="F1577" s="9">
        <v>53</v>
      </c>
      <c r="G1577" s="9">
        <v>575</v>
      </c>
      <c r="H1577" s="5" t="s">
        <v>21</v>
      </c>
      <c r="I1577" s="5" t="s">
        <v>4168</v>
      </c>
      <c r="J1577" s="12" t="str">
        <f>HYPERLINK("https://www.boe.es/gazeta/dias/1803/07/05/pdfs/GMD-1803-53.pdf#page=7","Abrir facsímil")</f>
        <v>Abrir facsímil</v>
      </c>
      <c r="K1577" s="15" t="s">
        <v>23</v>
      </c>
    </row>
    <row r="1578" spans="1:11" ht="42" customHeight="1">
      <c r="A1578" s="4" t="s">
        <v>4166</v>
      </c>
      <c r="B1578" s="5" t="s">
        <v>4167</v>
      </c>
      <c r="C1578" s="5" t="s">
        <v>40</v>
      </c>
      <c r="D1578" s="5" t="s">
        <v>41</v>
      </c>
      <c r="E1578" s="5" t="s">
        <v>211</v>
      </c>
      <c r="F1578" s="9">
        <v>71</v>
      </c>
      <c r="G1578" s="9">
        <v>771</v>
      </c>
      <c r="H1578" s="5" t="s">
        <v>21</v>
      </c>
      <c r="I1578" s="5" t="s">
        <v>4169</v>
      </c>
      <c r="J1578" s="12" t="str">
        <f>HYPERLINK("https://www.boe.es/gazeta/dias/1803/09/06/pdfs/GMD-1803-71.pdf#page=3","Abrir facsímil")</f>
        <v>Abrir facsímil</v>
      </c>
      <c r="K1578" s="15" t="s">
        <v>23</v>
      </c>
    </row>
    <row r="1579" spans="1:11" ht="42" customHeight="1">
      <c r="A1579" s="4" t="s">
        <v>4170</v>
      </c>
      <c r="B1579" s="5" t="s">
        <v>4170</v>
      </c>
      <c r="C1579" s="5" t="s">
        <v>40</v>
      </c>
      <c r="D1579" s="5" t="s">
        <v>41</v>
      </c>
      <c r="E1579" s="5" t="s">
        <v>214</v>
      </c>
      <c r="F1579" s="9">
        <v>17</v>
      </c>
      <c r="G1579" s="9">
        <v>174</v>
      </c>
      <c r="H1579" s="5" t="s">
        <v>21</v>
      </c>
      <c r="I1579" s="5" t="s">
        <v>4171</v>
      </c>
      <c r="J1579" s="12" t="str">
        <f>HYPERLINK("https://www.boe.es/gazeta/dias/1803/03/01/pdfs/GMD-1803-17.pdf#page=6","Abrir facsímil")</f>
        <v>Abrir facsímil</v>
      </c>
      <c r="K1579" s="15" t="s">
        <v>23</v>
      </c>
    </row>
    <row r="1580" spans="1:11" ht="42" customHeight="1">
      <c r="A1580" s="4" t="s">
        <v>4172</v>
      </c>
      <c r="B1580" s="5" t="s">
        <v>4172</v>
      </c>
      <c r="C1580" s="5" t="s">
        <v>40</v>
      </c>
      <c r="D1580" s="5" t="s">
        <v>41</v>
      </c>
      <c r="E1580" s="5" t="s">
        <v>211</v>
      </c>
      <c r="F1580" s="9">
        <v>71</v>
      </c>
      <c r="G1580" s="9">
        <v>770</v>
      </c>
      <c r="H1580" s="5" t="s">
        <v>21</v>
      </c>
      <c r="I1580" s="5" t="s">
        <v>4173</v>
      </c>
      <c r="J1580" s="12" t="str">
        <f>HYPERLINK("https://www.boe.es/gazeta/dias/1803/09/06/pdfs/GMD-1803-71.pdf#page=2","Abrir facsímil")</f>
        <v>Abrir facsímil</v>
      </c>
      <c r="K1580" s="15" t="s">
        <v>23</v>
      </c>
    </row>
    <row r="1581" spans="1:11" ht="42" customHeight="1">
      <c r="A1581" s="4" t="s">
        <v>4172</v>
      </c>
      <c r="B1581" s="5" t="s">
        <v>4172</v>
      </c>
      <c r="C1581" s="5" t="s">
        <v>40</v>
      </c>
      <c r="D1581" s="5" t="s">
        <v>41</v>
      </c>
      <c r="E1581" s="5" t="s">
        <v>439</v>
      </c>
      <c r="F1581" s="9">
        <v>76</v>
      </c>
      <c r="G1581" s="9">
        <v>813</v>
      </c>
      <c r="H1581" s="5" t="s">
        <v>21</v>
      </c>
      <c r="I1581" s="5" t="s">
        <v>4174</v>
      </c>
      <c r="J1581" s="12" t="str">
        <f>HYPERLINK("https://www.boe.es/gazeta/dias/1803/09/20/pdfs/GMD-1803-76.pdf#page=1","Abrir facsímil")</f>
        <v>Abrir facsímil</v>
      </c>
      <c r="K1581" s="15" t="s">
        <v>23</v>
      </c>
    </row>
    <row r="1582" spans="1:11" ht="42" customHeight="1">
      <c r="A1582" s="4" t="s">
        <v>4175</v>
      </c>
      <c r="B1582" s="5" t="s">
        <v>4175</v>
      </c>
      <c r="C1582" s="5" t="s">
        <v>26</v>
      </c>
      <c r="D1582" s="5" t="s">
        <v>27</v>
      </c>
      <c r="E1582" s="5" t="s">
        <v>4176</v>
      </c>
      <c r="F1582" s="9">
        <v>52</v>
      </c>
      <c r="G1582" s="9">
        <v>557</v>
      </c>
      <c r="H1582" s="5" t="s">
        <v>21</v>
      </c>
      <c r="I1582" s="5" t="s">
        <v>4177</v>
      </c>
      <c r="J1582" s="12" t="str">
        <f>HYPERLINK("https://www.boe.es/gazeta/dias/1803/07/01/pdfs/GMD-1803-52.pdf#page=1","Abrir facsímil")</f>
        <v>Abrir facsímil</v>
      </c>
      <c r="K1582" s="15" t="s">
        <v>23</v>
      </c>
    </row>
    <row r="1583" spans="1:11" ht="42" customHeight="1">
      <c r="A1583" s="4" t="s">
        <v>4178</v>
      </c>
      <c r="B1583" s="5" t="s">
        <v>4179</v>
      </c>
      <c r="C1583" s="5" t="s">
        <v>26</v>
      </c>
      <c r="D1583" s="5" t="s">
        <v>27</v>
      </c>
      <c r="E1583" s="5" t="s">
        <v>218</v>
      </c>
      <c r="F1583" s="9">
        <v>19</v>
      </c>
      <c r="G1583" s="9">
        <v>201</v>
      </c>
      <c r="H1583" s="5" t="s">
        <v>21</v>
      </c>
      <c r="I1583" s="5" t="s">
        <v>4180</v>
      </c>
      <c r="J1583" s="12" t="str">
        <f>HYPERLINK("https://www.boe.es/gazeta/dias/1803/03/08/pdfs/GMD-1803-19.pdf#page=9","Abrir facsímil")</f>
        <v>Abrir facsímil</v>
      </c>
      <c r="K1583" s="15" t="s">
        <v>23</v>
      </c>
    </row>
    <row r="1584" spans="1:11" ht="42" customHeight="1">
      <c r="A1584" s="4" t="s">
        <v>4181</v>
      </c>
      <c r="B1584" s="5" t="s">
        <v>4182</v>
      </c>
      <c r="C1584" s="5" t="s">
        <v>51</v>
      </c>
      <c r="D1584" s="5" t="s">
        <v>52</v>
      </c>
      <c r="E1584" s="5" t="s">
        <v>189</v>
      </c>
      <c r="F1584" s="9">
        <v>9</v>
      </c>
      <c r="G1584" s="9">
        <v>92</v>
      </c>
      <c r="H1584" s="5" t="s">
        <v>21</v>
      </c>
      <c r="I1584" s="5" t="s">
        <v>4183</v>
      </c>
      <c r="J1584" s="12" t="str">
        <f>HYPERLINK("https://www.boe.es/gazeta/dias/1803/02/01/pdfs/GMD-1803-9.pdf#page=8","Abrir facsímil")</f>
        <v>Abrir facsímil</v>
      </c>
      <c r="K1584" s="15" t="s">
        <v>23</v>
      </c>
    </row>
    <row r="1585" spans="1:11" ht="42" customHeight="1">
      <c r="A1585" s="4" t="s">
        <v>4184</v>
      </c>
      <c r="B1585" s="5" t="s">
        <v>4185</v>
      </c>
      <c r="C1585" s="5" t="s">
        <v>26</v>
      </c>
      <c r="D1585" s="5" t="s">
        <v>27</v>
      </c>
      <c r="E1585" s="5" t="s">
        <v>619</v>
      </c>
      <c r="F1585" s="9">
        <v>53</v>
      </c>
      <c r="G1585" s="9">
        <v>576</v>
      </c>
      <c r="H1585" s="5" t="s">
        <v>21</v>
      </c>
      <c r="I1585" s="5" t="s">
        <v>4186</v>
      </c>
      <c r="J1585" s="12" t="str">
        <f>HYPERLINK("https://www.boe.es/gazeta/dias/1803/07/05/pdfs/GMD-1803-53.pdf#page=8","Abrir facsímil")</f>
        <v>Abrir facsímil</v>
      </c>
      <c r="K1585" s="15" t="s">
        <v>23</v>
      </c>
    </row>
    <row r="1586" spans="1:11" ht="42" customHeight="1">
      <c r="A1586" s="4" t="s">
        <v>4187</v>
      </c>
      <c r="B1586" s="5" t="s">
        <v>4188</v>
      </c>
      <c r="C1586" s="5" t="s">
        <v>18</v>
      </c>
      <c r="D1586" s="5" t="s">
        <v>19</v>
      </c>
      <c r="E1586" s="5" t="s">
        <v>152</v>
      </c>
      <c r="F1586" s="9">
        <v>16</v>
      </c>
      <c r="G1586" s="9">
        <v>166</v>
      </c>
      <c r="H1586" s="5" t="s">
        <v>21</v>
      </c>
      <c r="I1586" s="5" t="s">
        <v>4189</v>
      </c>
      <c r="J1586" s="12" t="str">
        <f>HYPERLINK("https://www.boe.es/gazeta/dias/1803/02/25/pdfs/GMD-1803-16.pdf#page=6","Abrir facsímil")</f>
        <v>Abrir facsímil</v>
      </c>
      <c r="K1586" s="15" t="s">
        <v>23</v>
      </c>
    </row>
    <row r="1587" spans="1:11" ht="42" customHeight="1">
      <c r="A1587" s="4" t="s">
        <v>4190</v>
      </c>
      <c r="B1587" s="5" t="s">
        <v>4191</v>
      </c>
      <c r="C1587" s="5" t="s">
        <v>51</v>
      </c>
      <c r="D1587" s="5" t="s">
        <v>52</v>
      </c>
      <c r="E1587" s="5" t="s">
        <v>555</v>
      </c>
      <c r="F1587" s="9">
        <v>83</v>
      </c>
      <c r="G1587" s="9">
        <v>892</v>
      </c>
      <c r="H1587" s="5" t="s">
        <v>21</v>
      </c>
      <c r="I1587" s="5" t="s">
        <v>4192</v>
      </c>
      <c r="J1587" s="12" t="str">
        <f>HYPERLINK("https://www.boe.es/gazeta/dias/1803/10/14/pdfs/GMD-1803-83.pdf#page=4","Abrir facsímil")</f>
        <v>Abrir facsímil</v>
      </c>
      <c r="K1587" s="15" t="s">
        <v>23</v>
      </c>
    </row>
    <row r="1588" spans="1:11" ht="42" customHeight="1">
      <c r="A1588" s="4" t="s">
        <v>4193</v>
      </c>
      <c r="B1588" s="5" t="s">
        <v>4194</v>
      </c>
      <c r="C1588" s="5" t="s">
        <v>18</v>
      </c>
      <c r="D1588" s="5" t="s">
        <v>19</v>
      </c>
      <c r="E1588" s="5" t="s">
        <v>258</v>
      </c>
      <c r="F1588" s="9">
        <v>7</v>
      </c>
      <c r="G1588" s="9">
        <v>68</v>
      </c>
      <c r="H1588" s="5" t="s">
        <v>21</v>
      </c>
      <c r="I1588" s="5" t="s">
        <v>4195</v>
      </c>
      <c r="J1588" s="12" t="str">
        <f>HYPERLINK("https://www.boe.es/gazeta/dias/1803/01/25/pdfs/GMD-1803-7.pdf#page=8","Abrir facsímil")</f>
        <v>Abrir facsímil</v>
      </c>
      <c r="K1588" s="15" t="s">
        <v>23</v>
      </c>
    </row>
    <row r="1589" spans="1:11" ht="42" customHeight="1">
      <c r="A1589" s="4" t="s">
        <v>4196</v>
      </c>
      <c r="B1589" s="5" t="s">
        <v>4196</v>
      </c>
      <c r="C1589" s="5" t="s">
        <v>18</v>
      </c>
      <c r="D1589" s="5" t="s">
        <v>19</v>
      </c>
      <c r="E1589" s="5" t="s">
        <v>218</v>
      </c>
      <c r="F1589" s="9">
        <v>19</v>
      </c>
      <c r="G1589" s="9">
        <v>204</v>
      </c>
      <c r="H1589" s="5" t="s">
        <v>21</v>
      </c>
      <c r="I1589" s="5" t="s">
        <v>4197</v>
      </c>
      <c r="J1589" s="12" t="str">
        <f>HYPERLINK("https://www.boe.es/gazeta/dias/1803/03/08/pdfs/GMD-1803-19.pdf#page=12","Abrir facsímil")</f>
        <v>Abrir facsímil</v>
      </c>
      <c r="K1589" s="15" t="s">
        <v>23</v>
      </c>
    </row>
    <row r="1590" spans="1:11" ht="42" customHeight="1">
      <c r="A1590" s="4" t="s">
        <v>4198</v>
      </c>
      <c r="B1590" s="5" t="s">
        <v>4199</v>
      </c>
      <c r="C1590" s="5" t="s">
        <v>40</v>
      </c>
      <c r="D1590" s="5" t="s">
        <v>41</v>
      </c>
      <c r="E1590" s="5" t="s">
        <v>102</v>
      </c>
      <c r="F1590" s="9">
        <v>31</v>
      </c>
      <c r="G1590" s="9">
        <v>323</v>
      </c>
      <c r="H1590" s="5" t="s">
        <v>21</v>
      </c>
      <c r="I1590" s="5" t="s">
        <v>4200</v>
      </c>
      <c r="J1590" s="12" t="str">
        <f>HYPERLINK("https://www.boe.es/gazeta/dias/1803/04/19/pdfs/GMD-1803-31.pdf#page=3","Abrir facsímil")</f>
        <v>Abrir facsímil</v>
      </c>
      <c r="K1590" s="15" t="s">
        <v>23</v>
      </c>
    </row>
    <row r="1591" spans="1:11" ht="42" customHeight="1">
      <c r="A1591" s="4" t="s">
        <v>4201</v>
      </c>
      <c r="B1591" s="5" t="s">
        <v>4202</v>
      </c>
      <c r="C1591" s="5" t="s">
        <v>40</v>
      </c>
      <c r="D1591" s="5" t="s">
        <v>41</v>
      </c>
      <c r="E1591" s="5" t="s">
        <v>328</v>
      </c>
      <c r="F1591" s="9">
        <v>54</v>
      </c>
      <c r="G1591" s="9">
        <v>588</v>
      </c>
      <c r="H1591" s="5" t="s">
        <v>21</v>
      </c>
      <c r="I1591" s="5" t="s">
        <v>4203</v>
      </c>
      <c r="J1591" s="12" t="str">
        <f>HYPERLINK("https://www.boe.es/gazeta/dias/1803/07/08/pdfs/GMD-1803-54.pdf#page=8","Abrir facsímil")</f>
        <v>Abrir facsímil</v>
      </c>
      <c r="K1591" s="15" t="s">
        <v>23</v>
      </c>
    </row>
    <row r="1592" spans="1:11" ht="42" customHeight="1">
      <c r="A1592" s="4" t="s">
        <v>4201</v>
      </c>
      <c r="B1592" s="5" t="s">
        <v>4202</v>
      </c>
      <c r="C1592" s="5" t="s">
        <v>40</v>
      </c>
      <c r="D1592" s="5" t="s">
        <v>41</v>
      </c>
      <c r="E1592" s="5" t="s">
        <v>328</v>
      </c>
      <c r="F1592" s="9">
        <v>54</v>
      </c>
      <c r="G1592" s="9">
        <v>589</v>
      </c>
      <c r="H1592" s="5" t="s">
        <v>21</v>
      </c>
      <c r="I1592" s="5" t="s">
        <v>4204</v>
      </c>
      <c r="J1592" s="12" t="str">
        <f>HYPERLINK("https://www.boe.es/gazeta/dias/1803/07/08/pdfs/GMD-1803-54.pdf#page=9","Abrir facsímil")</f>
        <v>Abrir facsímil</v>
      </c>
      <c r="K1592" s="15" t="s">
        <v>23</v>
      </c>
    </row>
    <row r="1593" spans="1:11" ht="42" customHeight="1">
      <c r="A1593" s="4" t="s">
        <v>4205</v>
      </c>
      <c r="B1593" s="5" t="s">
        <v>4206</v>
      </c>
      <c r="C1593" s="5" t="s">
        <v>26</v>
      </c>
      <c r="D1593" s="5" t="s">
        <v>27</v>
      </c>
      <c r="E1593" s="5" t="s">
        <v>514</v>
      </c>
      <c r="F1593" s="9">
        <v>42</v>
      </c>
      <c r="G1593" s="9">
        <v>440</v>
      </c>
      <c r="H1593" s="5" t="s">
        <v>21</v>
      </c>
      <c r="I1593" s="5" t="s">
        <v>4207</v>
      </c>
      <c r="J1593" s="12" t="str">
        <f>HYPERLINK("https://www.boe.es/gazeta/dias/1803/05/27/pdfs/GMD-1803-42.pdf#page=8","Abrir facsímil")</f>
        <v>Abrir facsímil</v>
      </c>
      <c r="K1593" s="15" t="s">
        <v>23</v>
      </c>
    </row>
    <row r="1594" spans="1:11" ht="42" customHeight="1">
      <c r="A1594" s="4" t="s">
        <v>4208</v>
      </c>
      <c r="B1594" s="5" t="s">
        <v>4208</v>
      </c>
      <c r="C1594" s="5" t="s">
        <v>80</v>
      </c>
      <c r="D1594" s="5" t="s">
        <v>81</v>
      </c>
      <c r="E1594" s="5" t="s">
        <v>726</v>
      </c>
      <c r="F1594" s="9">
        <v>78</v>
      </c>
      <c r="G1594" s="9">
        <v>847</v>
      </c>
      <c r="H1594" s="5" t="s">
        <v>21</v>
      </c>
      <c r="I1594" s="5" t="s">
        <v>4209</v>
      </c>
      <c r="J1594" s="12" t="str">
        <f>HYPERLINK("https://www.boe.es/gazeta/dias/1803/09/27/pdfs/GMD-1803-78.pdf#page=11","Abrir facsímil")</f>
        <v>Abrir facsímil</v>
      </c>
      <c r="K1594" s="15" t="s">
        <v>23</v>
      </c>
    </row>
    <row r="1595" spans="1:11" ht="42" customHeight="1">
      <c r="A1595" s="4" t="s">
        <v>4210</v>
      </c>
      <c r="B1595" s="5" t="s">
        <v>4211</v>
      </c>
      <c r="C1595" s="5" t="s">
        <v>40</v>
      </c>
      <c r="D1595" s="5" t="s">
        <v>41</v>
      </c>
      <c r="E1595" s="5" t="s">
        <v>403</v>
      </c>
      <c r="F1595" s="9">
        <v>91</v>
      </c>
      <c r="G1595" s="9">
        <v>974</v>
      </c>
      <c r="H1595" s="5" t="s">
        <v>21</v>
      </c>
      <c r="I1595" s="5" t="s">
        <v>4212</v>
      </c>
      <c r="J1595" s="12" t="str">
        <f>HYPERLINK("https://www.boe.es/gazeta/dias/1803/11/11/pdfs/GMD-1803-91.pdf#page=6","Abrir facsímil")</f>
        <v>Abrir facsímil</v>
      </c>
      <c r="K1595" s="15" t="s">
        <v>23</v>
      </c>
    </row>
    <row r="1596" spans="1:11" ht="42" customHeight="1">
      <c r="A1596" s="4" t="s">
        <v>4210</v>
      </c>
      <c r="B1596" s="5" t="s">
        <v>4211</v>
      </c>
      <c r="C1596" s="5" t="s">
        <v>40</v>
      </c>
      <c r="D1596" s="5" t="s">
        <v>41</v>
      </c>
      <c r="E1596" s="5" t="s">
        <v>113</v>
      </c>
      <c r="F1596" s="9">
        <v>93</v>
      </c>
      <c r="G1596" s="9">
        <v>993</v>
      </c>
      <c r="H1596" s="5" t="s">
        <v>21</v>
      </c>
      <c r="I1596" s="5" t="s">
        <v>4213</v>
      </c>
      <c r="J1596" s="12" t="str">
        <f>HYPERLINK("https://www.boe.es/gazeta/dias/1803/11/18/pdfs/GMD-1803-93.pdf#page=5","Abrir facsímil")</f>
        <v>Abrir facsímil</v>
      </c>
      <c r="K1596" s="15" t="s">
        <v>23</v>
      </c>
    </row>
    <row r="1597" spans="1:11" ht="42" customHeight="1">
      <c r="A1597" s="4" t="s">
        <v>4210</v>
      </c>
      <c r="B1597" s="5" t="s">
        <v>4211</v>
      </c>
      <c r="C1597" s="5" t="s">
        <v>40</v>
      </c>
      <c r="D1597" s="5" t="s">
        <v>41</v>
      </c>
      <c r="E1597" s="5" t="s">
        <v>399</v>
      </c>
      <c r="F1597" s="9">
        <v>95</v>
      </c>
      <c r="G1597" s="9">
        <v>1015</v>
      </c>
      <c r="H1597" s="5" t="s">
        <v>21</v>
      </c>
      <c r="I1597" s="5" t="s">
        <v>4214</v>
      </c>
      <c r="J1597" s="12" t="str">
        <f>HYPERLINK("https://www.boe.es/gazeta/dias/1803/11/25/pdfs/GMD-1803-95.pdf#page=3","Abrir facsímil")</f>
        <v>Abrir facsímil</v>
      </c>
      <c r="K1597" s="15" t="s">
        <v>23</v>
      </c>
    </row>
    <row r="1598" spans="1:11" ht="42" customHeight="1">
      <c r="A1598" s="4" t="s">
        <v>4215</v>
      </c>
      <c r="B1598" s="5" t="s">
        <v>4216</v>
      </c>
      <c r="C1598" s="5" t="s">
        <v>40</v>
      </c>
      <c r="D1598" s="5" t="s">
        <v>41</v>
      </c>
      <c r="E1598" s="5" t="s">
        <v>211</v>
      </c>
      <c r="F1598" s="9">
        <v>71</v>
      </c>
      <c r="G1598" s="9">
        <v>774</v>
      </c>
      <c r="H1598" s="5" t="s">
        <v>21</v>
      </c>
      <c r="I1598" s="5" t="s">
        <v>4217</v>
      </c>
      <c r="J1598" s="12" t="str">
        <f>HYPERLINK("https://www.boe.es/gazeta/dias/1803/09/06/pdfs/GMD-1803-71.pdf#page=6","Abrir facsímil")</f>
        <v>Abrir facsímil</v>
      </c>
      <c r="K1598" s="15" t="s">
        <v>23</v>
      </c>
    </row>
    <row r="1599" spans="1:11" ht="42" customHeight="1">
      <c r="A1599" s="4" t="s">
        <v>4218</v>
      </c>
      <c r="B1599" s="5" t="s">
        <v>4219</v>
      </c>
      <c r="C1599" s="5" t="s">
        <v>26</v>
      </c>
      <c r="D1599" s="5" t="s">
        <v>27</v>
      </c>
      <c r="E1599" s="5" t="s">
        <v>555</v>
      </c>
      <c r="F1599" s="9">
        <v>83</v>
      </c>
      <c r="G1599" s="9">
        <v>892</v>
      </c>
      <c r="H1599" s="5" t="s">
        <v>21</v>
      </c>
      <c r="I1599" s="5" t="s">
        <v>4220</v>
      </c>
      <c r="J1599" s="12" t="str">
        <f>HYPERLINK("https://www.boe.es/gazeta/dias/1803/10/14/pdfs/GMD-1803-83.pdf#page=4","Abrir facsímil")</f>
        <v>Abrir facsímil</v>
      </c>
      <c r="K1599" s="15" t="s">
        <v>23</v>
      </c>
    </row>
    <row r="1600" spans="1:11" ht="42" customHeight="1">
      <c r="A1600" s="4" t="s">
        <v>4218</v>
      </c>
      <c r="B1600" s="5" t="s">
        <v>4219</v>
      </c>
      <c r="C1600" s="5" t="s">
        <v>40</v>
      </c>
      <c r="D1600" s="5" t="s">
        <v>41</v>
      </c>
      <c r="E1600" s="5" t="s">
        <v>28</v>
      </c>
      <c r="F1600" s="9">
        <v>92</v>
      </c>
      <c r="G1600" s="9">
        <v>983</v>
      </c>
      <c r="H1600" s="5" t="s">
        <v>21</v>
      </c>
      <c r="I1600" s="5" t="s">
        <v>4221</v>
      </c>
      <c r="J1600" s="12" t="str">
        <f>HYPERLINK("https://www.boe.es/gazeta/dias/1803/11/15/pdfs/GMD-1803-92.pdf#page=3","Abrir facsímil")</f>
        <v>Abrir facsímil</v>
      </c>
      <c r="K1600" s="15" t="s">
        <v>23</v>
      </c>
    </row>
    <row r="1601" spans="1:11" ht="42" customHeight="1">
      <c r="A1601" s="4" t="s">
        <v>4222</v>
      </c>
      <c r="B1601" s="5" t="s">
        <v>4222</v>
      </c>
      <c r="C1601" s="5" t="s">
        <v>40</v>
      </c>
      <c r="D1601" s="5" t="s">
        <v>41</v>
      </c>
      <c r="E1601" s="5" t="s">
        <v>303</v>
      </c>
      <c r="F1601" s="9">
        <v>8</v>
      </c>
      <c r="G1601" s="9">
        <v>75</v>
      </c>
      <c r="H1601" s="5" t="s">
        <v>21</v>
      </c>
      <c r="I1601" s="5" t="s">
        <v>4223</v>
      </c>
      <c r="J1601" s="12" t="str">
        <f>HYPERLINK("https://www.boe.es/gazeta/dias/1803/01/28/pdfs/GMD-1803-8.pdf#page=3","Abrir facsímil")</f>
        <v>Abrir facsímil</v>
      </c>
      <c r="K1601" s="15" t="s">
        <v>23</v>
      </c>
    </row>
    <row r="1602" spans="1:11" ht="42" customHeight="1">
      <c r="A1602" s="4" t="s">
        <v>4222</v>
      </c>
      <c r="B1602" s="5" t="s">
        <v>4222</v>
      </c>
      <c r="C1602" s="5" t="s">
        <v>26</v>
      </c>
      <c r="D1602" s="5" t="s">
        <v>27</v>
      </c>
      <c r="E1602" s="5" t="s">
        <v>174</v>
      </c>
      <c r="F1602" s="9">
        <v>21</v>
      </c>
      <c r="G1602" s="9">
        <v>221</v>
      </c>
      <c r="H1602" s="5" t="s">
        <v>21</v>
      </c>
      <c r="I1602" s="5" t="s">
        <v>4224</v>
      </c>
      <c r="J1602" s="12" t="str">
        <f>HYPERLINK("https://www.boe.es/gazeta/dias/1803/03/15/pdfs/GMD-1803-21.pdf#page=5","Abrir facsímil")</f>
        <v>Abrir facsímil</v>
      </c>
      <c r="K1602" s="15" t="s">
        <v>23</v>
      </c>
    </row>
    <row r="1603" spans="1:11" ht="42" customHeight="1">
      <c r="A1603" s="4" t="s">
        <v>4225</v>
      </c>
      <c r="B1603" s="5" t="s">
        <v>4226</v>
      </c>
      <c r="C1603" s="5" t="s">
        <v>80</v>
      </c>
      <c r="D1603" s="5" t="s">
        <v>81</v>
      </c>
      <c r="E1603" s="5" t="s">
        <v>203</v>
      </c>
      <c r="F1603" s="9">
        <v>32</v>
      </c>
      <c r="G1603" s="9">
        <v>330</v>
      </c>
      <c r="H1603" s="5" t="s">
        <v>21</v>
      </c>
      <c r="I1603" s="5" t="s">
        <v>4227</v>
      </c>
      <c r="J1603" s="12" t="str">
        <f>HYPERLINK("https://www.boe.es/gazeta/dias/1803/04/22/pdfs/GMD-1803-32.pdf#page=2","Abrir facsímil")</f>
        <v>Abrir facsímil</v>
      </c>
      <c r="K1603" s="15" t="s">
        <v>23</v>
      </c>
    </row>
    <row r="1604" spans="1:11" ht="42" customHeight="1">
      <c r="A1604" s="4" t="s">
        <v>4225</v>
      </c>
      <c r="B1604" s="5" t="s">
        <v>4226</v>
      </c>
      <c r="C1604" s="5" t="s">
        <v>26</v>
      </c>
      <c r="D1604" s="5" t="s">
        <v>27</v>
      </c>
      <c r="E1604" s="5" t="s">
        <v>203</v>
      </c>
      <c r="F1604" s="9">
        <v>32</v>
      </c>
      <c r="G1604" s="9">
        <v>331</v>
      </c>
      <c r="H1604" s="5" t="s">
        <v>21</v>
      </c>
      <c r="I1604" s="5" t="s">
        <v>4228</v>
      </c>
      <c r="J1604" s="12" t="str">
        <f>HYPERLINK("https://www.boe.es/gazeta/dias/1803/04/22/pdfs/GMD-1803-32.pdf#page=3","Abrir facsímil")</f>
        <v>Abrir facsímil</v>
      </c>
      <c r="K1604" s="15" t="s">
        <v>23</v>
      </c>
    </row>
    <row r="1605" spans="1:11" ht="42" customHeight="1">
      <c r="A1605" s="4" t="s">
        <v>4225</v>
      </c>
      <c r="B1605" s="5" t="s">
        <v>4226</v>
      </c>
      <c r="C1605" s="5" t="s">
        <v>40</v>
      </c>
      <c r="D1605" s="5" t="s">
        <v>41</v>
      </c>
      <c r="E1605" s="5" t="s">
        <v>389</v>
      </c>
      <c r="F1605" s="9">
        <v>41</v>
      </c>
      <c r="G1605" s="9">
        <v>428</v>
      </c>
      <c r="H1605" s="5" t="s">
        <v>21</v>
      </c>
      <c r="I1605" s="5" t="s">
        <v>4229</v>
      </c>
      <c r="J1605" s="12" t="str">
        <f>HYPERLINK("https://www.boe.es/gazeta/dias/1803/05/24/pdfs/GMD-1803-41.pdf#page=4","Abrir facsímil")</f>
        <v>Abrir facsímil</v>
      </c>
      <c r="K1605" s="15" t="s">
        <v>23</v>
      </c>
    </row>
    <row r="1606" spans="1:11" ht="42" customHeight="1">
      <c r="A1606" s="4" t="s">
        <v>4230</v>
      </c>
      <c r="B1606" s="5" t="s">
        <v>4231</v>
      </c>
      <c r="C1606" s="5" t="s">
        <v>26</v>
      </c>
      <c r="D1606" s="5" t="s">
        <v>27</v>
      </c>
      <c r="E1606" s="5" t="s">
        <v>514</v>
      </c>
      <c r="F1606" s="9">
        <v>42</v>
      </c>
      <c r="G1606" s="9">
        <v>438</v>
      </c>
      <c r="H1606" s="5" t="s">
        <v>21</v>
      </c>
      <c r="I1606" s="5" t="s">
        <v>4232</v>
      </c>
      <c r="J1606" s="12" t="str">
        <f>HYPERLINK("https://www.boe.es/gazeta/dias/1803/05/27/pdfs/GMD-1803-42.pdf#page=6","Abrir facsímil")</f>
        <v>Abrir facsímil</v>
      </c>
      <c r="K1606" s="15" t="s">
        <v>23</v>
      </c>
    </row>
    <row r="1607" spans="1:11" ht="42" customHeight="1">
      <c r="A1607" s="4" t="s">
        <v>4233</v>
      </c>
      <c r="B1607" s="5" t="s">
        <v>4234</v>
      </c>
      <c r="C1607" s="5" t="s">
        <v>51</v>
      </c>
      <c r="D1607" s="5" t="s">
        <v>52</v>
      </c>
      <c r="E1607" s="5" t="s">
        <v>77</v>
      </c>
      <c r="F1607" s="9">
        <v>64</v>
      </c>
      <c r="G1607" s="9">
        <v>697</v>
      </c>
      <c r="H1607" s="5" t="s">
        <v>21</v>
      </c>
      <c r="I1607" s="5" t="s">
        <v>4235</v>
      </c>
      <c r="J1607" s="12" t="str">
        <f>HYPERLINK("https://www.boe.es/gazeta/dias/1803/08/12/pdfs/GMD-1803-64.pdf#page=5","Abrir facsímil")</f>
        <v>Abrir facsímil</v>
      </c>
      <c r="K1607" s="15" t="s">
        <v>23</v>
      </c>
    </row>
    <row r="1608" spans="1:11" ht="42" customHeight="1">
      <c r="A1608" s="4" t="s">
        <v>4236</v>
      </c>
      <c r="B1608" s="5" t="s">
        <v>4237</v>
      </c>
      <c r="C1608" s="5" t="s">
        <v>26</v>
      </c>
      <c r="D1608" s="5" t="s">
        <v>27</v>
      </c>
      <c r="E1608" s="5" t="s">
        <v>88</v>
      </c>
      <c r="F1608" s="9">
        <v>18</v>
      </c>
      <c r="G1608" s="9">
        <v>188</v>
      </c>
      <c r="H1608" s="5" t="s">
        <v>21</v>
      </c>
      <c r="I1608" s="5" t="s">
        <v>4238</v>
      </c>
      <c r="J1608" s="12" t="str">
        <f>HYPERLINK("https://www.boe.es/gazeta/dias/1803/03/04/pdfs/GMD-1803-18.pdf#page=8","Abrir facsímil")</f>
        <v>Abrir facsímil</v>
      </c>
      <c r="K1608" s="15" t="s">
        <v>23</v>
      </c>
    </row>
    <row r="1609" spans="1:11" ht="42" customHeight="1">
      <c r="A1609" s="4" t="s">
        <v>4239</v>
      </c>
      <c r="B1609" s="5" t="s">
        <v>4240</v>
      </c>
      <c r="C1609" s="5" t="s">
        <v>26</v>
      </c>
      <c r="D1609" s="5" t="s">
        <v>27</v>
      </c>
      <c r="E1609" s="5" t="s">
        <v>148</v>
      </c>
      <c r="F1609" s="9">
        <v>15</v>
      </c>
      <c r="G1609" s="9">
        <v>149</v>
      </c>
      <c r="H1609" s="5" t="s">
        <v>21</v>
      </c>
      <c r="I1609" s="5" t="s">
        <v>4241</v>
      </c>
      <c r="J1609" s="12" t="str">
        <f>HYPERLINK("https://www.boe.es/gazeta/dias/1803/02/22/pdfs/GMD-1803-15.pdf#page=1","Abrir facsímil")</f>
        <v>Abrir facsímil</v>
      </c>
      <c r="K1609" s="15" t="s">
        <v>23</v>
      </c>
    </row>
    <row r="1610" spans="1:11" ht="42" customHeight="1">
      <c r="A1610" s="4" t="s">
        <v>4242</v>
      </c>
      <c r="B1610" s="5" t="s">
        <v>4242</v>
      </c>
      <c r="C1610" s="5" t="s">
        <v>40</v>
      </c>
      <c r="D1610" s="5" t="s">
        <v>41</v>
      </c>
      <c r="E1610" s="5" t="s">
        <v>726</v>
      </c>
      <c r="F1610" s="9">
        <v>78</v>
      </c>
      <c r="G1610" s="9">
        <v>842</v>
      </c>
      <c r="H1610" s="5" t="s">
        <v>21</v>
      </c>
      <c r="I1610" s="5" t="s">
        <v>4243</v>
      </c>
      <c r="J1610" s="12" t="str">
        <f>HYPERLINK("https://www.boe.es/gazeta/dias/1803/09/27/pdfs/GMD-1803-78.pdf#page=6","Abrir facsímil")</f>
        <v>Abrir facsímil</v>
      </c>
      <c r="K1610" s="15" t="s">
        <v>23</v>
      </c>
    </row>
    <row r="1611" spans="1:11" ht="42" customHeight="1">
      <c r="A1611" s="4" t="s">
        <v>4244</v>
      </c>
      <c r="B1611" s="5" t="s">
        <v>4245</v>
      </c>
      <c r="C1611" s="5" t="s">
        <v>26</v>
      </c>
      <c r="D1611" s="5" t="s">
        <v>27</v>
      </c>
      <c r="E1611" s="5" t="s">
        <v>303</v>
      </c>
      <c r="F1611" s="9">
        <v>8</v>
      </c>
      <c r="G1611" s="9">
        <v>79</v>
      </c>
      <c r="H1611" s="5" t="s">
        <v>21</v>
      </c>
      <c r="I1611" s="5" t="s">
        <v>4246</v>
      </c>
      <c r="J1611" s="12" t="str">
        <f>HYPERLINK("https://www.boe.es/gazeta/dias/1803/01/28/pdfs/GMD-1803-8.pdf#page=7","Abrir facsímil")</f>
        <v>Abrir facsímil</v>
      </c>
      <c r="K1611" s="15" t="s">
        <v>23</v>
      </c>
    </row>
    <row r="1612" spans="1:11" ht="42" customHeight="1">
      <c r="A1612" s="4" t="s">
        <v>4247</v>
      </c>
      <c r="B1612" s="5" t="s">
        <v>4248</v>
      </c>
      <c r="C1612" s="5" t="s">
        <v>51</v>
      </c>
      <c r="D1612" s="5" t="s">
        <v>52</v>
      </c>
      <c r="E1612" s="5" t="s">
        <v>882</v>
      </c>
      <c r="F1612" s="9">
        <v>60</v>
      </c>
      <c r="G1612" s="9">
        <v>657</v>
      </c>
      <c r="H1612" s="5" t="s">
        <v>21</v>
      </c>
      <c r="I1612" s="5" t="s">
        <v>4249</v>
      </c>
      <c r="J1612" s="12" t="str">
        <f>HYPERLINK("https://www.boe.es/gazeta/dias/1803/07/29/pdfs/GMD-1803-60.pdf#page=9","Abrir facsímil")</f>
        <v>Abrir facsímil</v>
      </c>
      <c r="K1612" s="15" t="s">
        <v>23</v>
      </c>
    </row>
    <row r="1613" spans="1:11" ht="42" customHeight="1">
      <c r="A1613" s="4" t="s">
        <v>4250</v>
      </c>
      <c r="B1613" s="5" t="s">
        <v>4251</v>
      </c>
      <c r="C1613" s="5" t="s">
        <v>46</v>
      </c>
      <c r="D1613" s="5" t="s">
        <v>19</v>
      </c>
      <c r="E1613" s="5" t="s">
        <v>174</v>
      </c>
      <c r="F1613" s="9">
        <v>21</v>
      </c>
      <c r="G1613" s="9">
        <v>226</v>
      </c>
      <c r="H1613" s="5" t="s">
        <v>21</v>
      </c>
      <c r="I1613" s="5" t="s">
        <v>4252</v>
      </c>
      <c r="J1613" s="12" t="str">
        <f>HYPERLINK("https://www.boe.es/gazeta/dias/1803/03/15/pdfs/GMD-1803-21.pdf#page=10","Abrir facsímil")</f>
        <v>Abrir facsímil</v>
      </c>
      <c r="K1613" s="15" t="s">
        <v>23</v>
      </c>
    </row>
    <row r="1614" spans="1:11" ht="42" customHeight="1">
      <c r="A1614" s="4" t="s">
        <v>4250</v>
      </c>
      <c r="B1614" s="5" t="s">
        <v>4251</v>
      </c>
      <c r="C1614" s="5" t="s">
        <v>46</v>
      </c>
      <c r="D1614" s="5" t="s">
        <v>19</v>
      </c>
      <c r="E1614" s="5" t="s">
        <v>609</v>
      </c>
      <c r="F1614" s="9">
        <v>57</v>
      </c>
      <c r="G1614" s="9">
        <v>622</v>
      </c>
      <c r="H1614" s="5" t="s">
        <v>21</v>
      </c>
      <c r="I1614" s="5" t="s">
        <v>4253</v>
      </c>
      <c r="J1614" s="12" t="str">
        <f>HYPERLINK("https://www.boe.es/gazeta/dias/1803/07/19/pdfs/GMD-C-1803-57.pdf#page=2","Abrir facsímil")</f>
        <v>Abrir facsímil</v>
      </c>
      <c r="K1614" s="15" t="s">
        <v>23</v>
      </c>
    </row>
    <row r="1615" spans="1:11" ht="42" customHeight="1">
      <c r="A1615" s="4" t="s">
        <v>4250</v>
      </c>
      <c r="B1615" s="5" t="s">
        <v>4251</v>
      </c>
      <c r="C1615" s="5" t="s">
        <v>46</v>
      </c>
      <c r="D1615" s="5" t="s">
        <v>19</v>
      </c>
      <c r="E1615" s="5" t="s">
        <v>113</v>
      </c>
      <c r="F1615" s="9">
        <v>93</v>
      </c>
      <c r="G1615" s="9">
        <v>997</v>
      </c>
      <c r="H1615" s="5" t="s">
        <v>21</v>
      </c>
      <c r="I1615" s="5" t="s">
        <v>4254</v>
      </c>
      <c r="J1615" s="12" t="str">
        <f>HYPERLINK("https://www.boe.es/gazeta/dias/1803/11/18/pdfs/GMD-1803-93.pdf#page=9","Abrir facsímil")</f>
        <v>Abrir facsímil</v>
      </c>
      <c r="K1615" s="15" t="s">
        <v>23</v>
      </c>
    </row>
    <row r="1616" spans="1:11" ht="42" customHeight="1">
      <c r="A1616" s="4" t="s">
        <v>4255</v>
      </c>
      <c r="B1616" s="5" t="s">
        <v>4256</v>
      </c>
      <c r="C1616" s="5" t="s">
        <v>26</v>
      </c>
      <c r="D1616" s="5" t="s">
        <v>27</v>
      </c>
      <c r="E1616" s="5" t="s">
        <v>417</v>
      </c>
      <c r="F1616" s="9">
        <v>72</v>
      </c>
      <c r="G1616" s="9">
        <v>786</v>
      </c>
      <c r="H1616" s="5" t="s">
        <v>21</v>
      </c>
      <c r="I1616" s="5" t="s">
        <v>4257</v>
      </c>
      <c r="J1616" s="12" t="str">
        <f>HYPERLINK("https://www.boe.es/gazeta/dias/1803/09/09/pdfs/GMD-1803-72.pdf#page=6","Abrir facsímil")</f>
        <v>Abrir facsímil</v>
      </c>
      <c r="K1616" s="15" t="s">
        <v>23</v>
      </c>
    </row>
    <row r="1617" spans="1:11" ht="42" customHeight="1">
      <c r="A1617" s="4" t="s">
        <v>4258</v>
      </c>
      <c r="B1617" s="5" t="s">
        <v>4259</v>
      </c>
      <c r="C1617" s="5" t="s">
        <v>26</v>
      </c>
      <c r="D1617" s="5" t="s">
        <v>27</v>
      </c>
      <c r="E1617" s="5" t="s">
        <v>442</v>
      </c>
      <c r="F1617" s="9" t="s">
        <v>443</v>
      </c>
      <c r="G1617" s="9">
        <v>794</v>
      </c>
      <c r="H1617" s="5" t="s">
        <v>21</v>
      </c>
      <c r="I1617" s="5" t="s">
        <v>4260</v>
      </c>
      <c r="J1617" s="12" t="str">
        <f>HYPERLINK("https://www.boe.es/gazeta/dias/1803/09/12/pdfs/GMD-1803-73E.pdf#page=6","Abrir facsímil")</f>
        <v>Abrir facsímil</v>
      </c>
      <c r="K1617" s="15" t="s">
        <v>23</v>
      </c>
    </row>
    <row r="1618" spans="1:11" ht="42" customHeight="1">
      <c r="A1618" s="4" t="s">
        <v>4261</v>
      </c>
      <c r="B1618" s="5" t="s">
        <v>4262</v>
      </c>
      <c r="C1618" s="5" t="s">
        <v>40</v>
      </c>
      <c r="D1618" s="5" t="s">
        <v>41</v>
      </c>
      <c r="E1618" s="5" t="s">
        <v>967</v>
      </c>
      <c r="F1618" s="9">
        <v>35</v>
      </c>
      <c r="G1618" s="9">
        <v>361</v>
      </c>
      <c r="H1618" s="5" t="s">
        <v>21</v>
      </c>
      <c r="I1618" s="5" t="s">
        <v>4263</v>
      </c>
      <c r="J1618" s="12" t="str">
        <f>HYPERLINK("https://www.boe.es/gazeta/dias/1803/05/03/pdfs/GMD-1803-35.pdf#page=1","Abrir facsímil")</f>
        <v>Abrir facsímil</v>
      </c>
      <c r="K1618" s="15" t="s">
        <v>23</v>
      </c>
    </row>
    <row r="1619" spans="1:11" ht="42" customHeight="1">
      <c r="A1619" s="4" t="s">
        <v>4261</v>
      </c>
      <c r="B1619" s="5" t="s">
        <v>4262</v>
      </c>
      <c r="C1619" s="5" t="s">
        <v>40</v>
      </c>
      <c r="D1619" s="5" t="s">
        <v>41</v>
      </c>
      <c r="E1619" s="5" t="s">
        <v>75</v>
      </c>
      <c r="F1619" s="9">
        <v>56</v>
      </c>
      <c r="G1619" s="9">
        <v>609</v>
      </c>
      <c r="H1619" s="5" t="s">
        <v>21</v>
      </c>
      <c r="I1619" s="5" t="s">
        <v>4264</v>
      </c>
      <c r="J1619" s="12" t="str">
        <f>HYPERLINK("https://www.boe.es/gazeta/dias/1803/07/15/pdfs/GMD-1803-56.pdf#page=5","Abrir facsímil")</f>
        <v>Abrir facsímil</v>
      </c>
      <c r="K1619" s="15" t="s">
        <v>23</v>
      </c>
    </row>
    <row r="1620" spans="1:11" ht="42" customHeight="1">
      <c r="A1620" s="4" t="s">
        <v>4265</v>
      </c>
      <c r="B1620" s="5" t="s">
        <v>4266</v>
      </c>
      <c r="C1620" s="5" t="s">
        <v>40</v>
      </c>
      <c r="D1620" s="5" t="s">
        <v>41</v>
      </c>
      <c r="E1620" s="5" t="s">
        <v>191</v>
      </c>
      <c r="F1620" s="9">
        <v>34</v>
      </c>
      <c r="G1620" s="9">
        <v>358</v>
      </c>
      <c r="H1620" s="5" t="s">
        <v>21</v>
      </c>
      <c r="I1620" s="5" t="s">
        <v>4267</v>
      </c>
      <c r="J1620" s="12" t="str">
        <f>HYPERLINK("https://www.boe.es/gazeta/dias/1803/04/29/pdfs/GMD-1803-34.pdf#page=6","Abrir facsímil")</f>
        <v>Abrir facsímil</v>
      </c>
      <c r="K1620" s="15" t="s">
        <v>23</v>
      </c>
    </row>
    <row r="1621" spans="1:11" ht="42" customHeight="1">
      <c r="A1621" s="4" t="s">
        <v>4268</v>
      </c>
      <c r="B1621" s="5" t="s">
        <v>4269</v>
      </c>
      <c r="C1621" s="5" t="s">
        <v>26</v>
      </c>
      <c r="D1621" s="5" t="s">
        <v>27</v>
      </c>
      <c r="E1621" s="5" t="s">
        <v>189</v>
      </c>
      <c r="F1621" s="9">
        <v>9</v>
      </c>
      <c r="G1621" s="9">
        <v>93</v>
      </c>
      <c r="H1621" s="5" t="s">
        <v>21</v>
      </c>
      <c r="I1621" s="5" t="s">
        <v>4270</v>
      </c>
      <c r="J1621" s="12" t="str">
        <f>HYPERLINK("https://www.boe.es/gazeta/dias/1803/02/01/pdfs/GMD-1803-9.pdf#page=9","Abrir facsímil")</f>
        <v>Abrir facsímil</v>
      </c>
      <c r="K1621" s="15" t="s">
        <v>23</v>
      </c>
    </row>
    <row r="1622" spans="1:11" ht="42" customHeight="1">
      <c r="A1622" s="4" t="s">
        <v>4271</v>
      </c>
      <c r="B1622" s="5" t="s">
        <v>4271</v>
      </c>
      <c r="C1622" s="5" t="s">
        <v>26</v>
      </c>
      <c r="D1622" s="5" t="s">
        <v>27</v>
      </c>
      <c r="E1622" s="5" t="s">
        <v>117</v>
      </c>
      <c r="F1622" s="9">
        <v>59</v>
      </c>
      <c r="G1622" s="9">
        <v>647</v>
      </c>
      <c r="H1622" s="5" t="s">
        <v>21</v>
      </c>
      <c r="I1622" s="5" t="s">
        <v>4272</v>
      </c>
      <c r="J1622" s="12" t="str">
        <f>HYPERLINK("https://www.boe.es/gazeta/dias/1803/07/26/pdfs/GMD-1803-59.pdf#page=7","Abrir facsímil")</f>
        <v>Abrir facsímil</v>
      </c>
      <c r="K1622" s="15" t="s">
        <v>23</v>
      </c>
    </row>
    <row r="1623" spans="1:11" ht="42" customHeight="1">
      <c r="A1623" s="4" t="s">
        <v>4273</v>
      </c>
      <c r="B1623" s="5" t="s">
        <v>4273</v>
      </c>
      <c r="C1623" s="5" t="s">
        <v>18</v>
      </c>
      <c r="D1623" s="5" t="s">
        <v>19</v>
      </c>
      <c r="E1623" s="5" t="s">
        <v>361</v>
      </c>
      <c r="F1623" s="9">
        <v>62</v>
      </c>
      <c r="G1623" s="9">
        <v>675</v>
      </c>
      <c r="H1623" s="5" t="s">
        <v>21</v>
      </c>
      <c r="I1623" s="5" t="s">
        <v>4274</v>
      </c>
      <c r="J1623" s="12" t="str">
        <f>HYPERLINK("https://www.boe.es/gazeta/dias/1803/08/05/pdfs/GMD-1803-62.pdf#page=7","Abrir facsímil")</f>
        <v>Abrir facsímil</v>
      </c>
      <c r="K1623" s="15" t="s">
        <v>23</v>
      </c>
    </row>
    <row r="1624" spans="1:11" ht="42" customHeight="1">
      <c r="A1624" s="4" t="s">
        <v>4275</v>
      </c>
      <c r="B1624" s="5" t="s">
        <v>4275</v>
      </c>
      <c r="C1624" s="5" t="s">
        <v>26</v>
      </c>
      <c r="D1624" s="5" t="s">
        <v>27</v>
      </c>
      <c r="E1624" s="5" t="s">
        <v>148</v>
      </c>
      <c r="F1624" s="9">
        <v>15</v>
      </c>
      <c r="G1624" s="9">
        <v>157</v>
      </c>
      <c r="H1624" s="5" t="s">
        <v>21</v>
      </c>
      <c r="I1624" s="5" t="s">
        <v>4276</v>
      </c>
      <c r="J1624" s="12" t="str">
        <f>HYPERLINK("https://www.boe.es/gazeta/dias/1803/02/22/pdfs/GMD-1803-15.pdf#page=9","Abrir facsímil")</f>
        <v>Abrir facsímil</v>
      </c>
      <c r="K1624" s="15" t="s">
        <v>23</v>
      </c>
    </row>
    <row r="1625" spans="1:11" ht="42" customHeight="1">
      <c r="A1625" s="4" t="s">
        <v>4277</v>
      </c>
      <c r="B1625" s="5" t="s">
        <v>4277</v>
      </c>
      <c r="C1625" s="5" t="s">
        <v>40</v>
      </c>
      <c r="D1625" s="5" t="s">
        <v>41</v>
      </c>
      <c r="E1625" s="5" t="s">
        <v>211</v>
      </c>
      <c r="F1625" s="9">
        <v>71</v>
      </c>
      <c r="G1625" s="9">
        <v>774</v>
      </c>
      <c r="H1625" s="5" t="s">
        <v>21</v>
      </c>
      <c r="I1625" s="5" t="s">
        <v>4278</v>
      </c>
      <c r="J1625" s="12" t="str">
        <f>HYPERLINK("https://www.boe.es/gazeta/dias/1803/09/06/pdfs/GMD-1803-71.pdf#page=6","Abrir facsímil")</f>
        <v>Abrir facsímil</v>
      </c>
      <c r="K1625" s="15" t="s">
        <v>23</v>
      </c>
    </row>
    <row r="1626" spans="1:11" ht="42" customHeight="1">
      <c r="A1626" s="4" t="s">
        <v>4279</v>
      </c>
      <c r="B1626" s="5" t="s">
        <v>4280</v>
      </c>
      <c r="C1626" s="5" t="s">
        <v>51</v>
      </c>
      <c r="D1626" s="5" t="s">
        <v>52</v>
      </c>
      <c r="E1626" s="5" t="s">
        <v>174</v>
      </c>
      <c r="F1626" s="9">
        <v>21</v>
      </c>
      <c r="G1626" s="9">
        <v>225</v>
      </c>
      <c r="H1626" s="5" t="s">
        <v>21</v>
      </c>
      <c r="I1626" s="5" t="s">
        <v>4281</v>
      </c>
      <c r="J1626" s="12" t="str">
        <f>HYPERLINK("https://www.boe.es/gazeta/dias/1803/03/15/pdfs/GMD-1803-21.pdf#page=9","Abrir facsímil")</f>
        <v>Abrir facsímil</v>
      </c>
      <c r="K1626" s="15" t="s">
        <v>23</v>
      </c>
    </row>
    <row r="1627" spans="1:11" ht="42" customHeight="1">
      <c r="A1627" s="4" t="s">
        <v>4279</v>
      </c>
      <c r="B1627" s="5" t="s">
        <v>4280</v>
      </c>
      <c r="C1627" s="5" t="s">
        <v>225</v>
      </c>
      <c r="D1627" s="5" t="s">
        <v>226</v>
      </c>
      <c r="E1627" s="5" t="s">
        <v>609</v>
      </c>
      <c r="F1627" s="9">
        <v>57</v>
      </c>
      <c r="G1627" s="9">
        <v>622</v>
      </c>
      <c r="H1627" s="5" t="s">
        <v>21</v>
      </c>
      <c r="I1627" s="5" t="s">
        <v>4282</v>
      </c>
      <c r="J1627" s="12" t="str">
        <f>HYPERLINK("https://www.boe.es/gazeta/dias/1803/07/19/pdfs/GMD-C-1803-57.pdf#page=2","Abrir facsímil")</f>
        <v>Abrir facsímil</v>
      </c>
      <c r="K1627" s="15" t="s">
        <v>23</v>
      </c>
    </row>
    <row r="1628" spans="1:11" ht="42" customHeight="1">
      <c r="A1628" s="4" t="s">
        <v>4279</v>
      </c>
      <c r="B1628" s="5" t="s">
        <v>4280</v>
      </c>
      <c r="C1628" s="5" t="s">
        <v>51</v>
      </c>
      <c r="D1628" s="5" t="s">
        <v>52</v>
      </c>
      <c r="E1628" s="5" t="s">
        <v>113</v>
      </c>
      <c r="F1628" s="9">
        <v>93</v>
      </c>
      <c r="G1628" s="9">
        <v>997</v>
      </c>
      <c r="H1628" s="5" t="s">
        <v>21</v>
      </c>
      <c r="I1628" s="5" t="s">
        <v>4283</v>
      </c>
      <c r="J1628" s="12" t="str">
        <f>HYPERLINK("https://www.boe.es/gazeta/dias/1803/11/18/pdfs/GMD-1803-93.pdf#page=9","Abrir facsímil")</f>
        <v>Abrir facsímil</v>
      </c>
      <c r="K1628" s="15" t="s">
        <v>23</v>
      </c>
    </row>
    <row r="1629" spans="1:11" ht="42" customHeight="1">
      <c r="A1629" s="4" t="s">
        <v>4284</v>
      </c>
      <c r="B1629" s="5" t="s">
        <v>4285</v>
      </c>
      <c r="C1629" s="5" t="s">
        <v>26</v>
      </c>
      <c r="D1629" s="5" t="s">
        <v>27</v>
      </c>
      <c r="E1629" s="5" t="s">
        <v>68</v>
      </c>
      <c r="F1629" s="9">
        <v>23</v>
      </c>
      <c r="G1629" s="9">
        <v>246</v>
      </c>
      <c r="H1629" s="5" t="s">
        <v>21</v>
      </c>
      <c r="I1629" s="5" t="s">
        <v>4286</v>
      </c>
      <c r="J1629" s="12" t="str">
        <f>HYPERLINK("https://www.boe.es/gazeta/dias/1803/03/22/pdfs/GMD-1803-23.pdf#page=6","Abrir facsímil")</f>
        <v>Abrir facsímil</v>
      </c>
      <c r="K1629" s="15" t="s">
        <v>23</v>
      </c>
    </row>
    <row r="1630" spans="1:11" ht="42" customHeight="1">
      <c r="A1630" s="4" t="s">
        <v>4287</v>
      </c>
      <c r="B1630" s="5" t="s">
        <v>4287</v>
      </c>
      <c r="C1630" s="5" t="s">
        <v>51</v>
      </c>
      <c r="D1630" s="5" t="s">
        <v>52</v>
      </c>
      <c r="E1630" s="5" t="s">
        <v>174</v>
      </c>
      <c r="F1630" s="9">
        <v>21</v>
      </c>
      <c r="G1630" s="9">
        <v>223</v>
      </c>
      <c r="H1630" s="5" t="s">
        <v>21</v>
      </c>
      <c r="I1630" s="5" t="s">
        <v>4288</v>
      </c>
      <c r="J1630" s="12" t="str">
        <f>HYPERLINK("https://www.boe.es/gazeta/dias/1803/03/15/pdfs/GMD-1803-21.pdf#page=7","Abrir facsímil")</f>
        <v>Abrir facsímil</v>
      </c>
      <c r="K1630" s="15" t="s">
        <v>23</v>
      </c>
    </row>
    <row r="1631" spans="1:11" ht="42" customHeight="1">
      <c r="A1631" s="4" t="s">
        <v>4289</v>
      </c>
      <c r="B1631" s="5" t="s">
        <v>4289</v>
      </c>
      <c r="C1631" s="5" t="s">
        <v>51</v>
      </c>
      <c r="D1631" s="5" t="s">
        <v>52</v>
      </c>
      <c r="E1631" s="5" t="s">
        <v>509</v>
      </c>
      <c r="F1631" s="9">
        <v>6</v>
      </c>
      <c r="G1631" s="9">
        <v>53</v>
      </c>
      <c r="H1631" s="5" t="s">
        <v>21</v>
      </c>
      <c r="I1631" s="5" t="s">
        <v>1500</v>
      </c>
      <c r="J1631" s="12" t="str">
        <f>HYPERLINK("https://www.boe.es/gazeta/dias/1803/01/21/pdfs/GMD-1803-6.pdf#page=5","Abrir facsímil")</f>
        <v>Abrir facsímil</v>
      </c>
      <c r="K1631" s="15" t="s">
        <v>23</v>
      </c>
    </row>
    <row r="1632" spans="1:11" ht="42" customHeight="1">
      <c r="A1632" s="4" t="s">
        <v>4290</v>
      </c>
      <c r="B1632" s="5" t="s">
        <v>4291</v>
      </c>
      <c r="C1632" s="5" t="s">
        <v>46</v>
      </c>
      <c r="D1632" s="5" t="s">
        <v>19</v>
      </c>
      <c r="E1632" s="5" t="s">
        <v>231</v>
      </c>
      <c r="F1632" s="9">
        <v>26</v>
      </c>
      <c r="G1632" s="9">
        <v>276</v>
      </c>
      <c r="H1632" s="5" t="s">
        <v>21</v>
      </c>
      <c r="I1632" s="5" t="s">
        <v>4292</v>
      </c>
      <c r="J1632" s="12" t="str">
        <f>HYPERLINK("https://www.boe.es/gazeta/dias/1803/04/01/pdfs/GMD-1803-26.pdf#page=4","Abrir facsímil")</f>
        <v>Abrir facsímil</v>
      </c>
      <c r="K1632" s="15" t="s">
        <v>23</v>
      </c>
    </row>
    <row r="1633" spans="1:11" ht="42" customHeight="1">
      <c r="A1633" s="4" t="s">
        <v>4293</v>
      </c>
      <c r="B1633" s="5" t="s">
        <v>4294</v>
      </c>
      <c r="C1633" s="5" t="s">
        <v>80</v>
      </c>
      <c r="D1633" s="5" t="s">
        <v>81</v>
      </c>
      <c r="E1633" s="5" t="s">
        <v>289</v>
      </c>
      <c r="F1633" s="9">
        <v>38</v>
      </c>
      <c r="G1633" s="9">
        <v>403</v>
      </c>
      <c r="H1633" s="5" t="s">
        <v>21</v>
      </c>
      <c r="I1633" s="5" t="s">
        <v>4295</v>
      </c>
      <c r="J1633" s="12" t="str">
        <f>HYPERLINK("https://www.boe.es/gazeta/dias/1803/05/13/pdfs/GMD-1803-38.pdf#page=11","Abrir facsímil")</f>
        <v>Abrir facsímil</v>
      </c>
      <c r="K1633" s="15" t="s">
        <v>23</v>
      </c>
    </row>
    <row r="1634" spans="1:11" ht="42" customHeight="1">
      <c r="A1634" s="4" t="s">
        <v>4296</v>
      </c>
      <c r="B1634" s="5" t="s">
        <v>4297</v>
      </c>
      <c r="C1634" s="5" t="s">
        <v>51</v>
      </c>
      <c r="D1634" s="5" t="s">
        <v>52</v>
      </c>
      <c r="E1634" s="5" t="s">
        <v>85</v>
      </c>
      <c r="F1634" s="9">
        <v>49</v>
      </c>
      <c r="G1634" s="9">
        <v>523</v>
      </c>
      <c r="H1634" s="5" t="s">
        <v>21</v>
      </c>
      <c r="I1634" s="5" t="s">
        <v>4298</v>
      </c>
      <c r="J1634" s="12" t="str">
        <f>HYPERLINK("https://www.boe.es/gazeta/dias/1803/06/21/pdfs/GMD-1803-49.pdf#page=11","Abrir facsímil")</f>
        <v>Abrir facsímil</v>
      </c>
      <c r="K1634" s="15" t="s">
        <v>23</v>
      </c>
    </row>
    <row r="1635" spans="1:11" ht="42" customHeight="1">
      <c r="A1635" s="4" t="s">
        <v>4299</v>
      </c>
      <c r="B1635" s="5" t="s">
        <v>4300</v>
      </c>
      <c r="C1635" s="5" t="s">
        <v>40</v>
      </c>
      <c r="D1635" s="5" t="s">
        <v>41</v>
      </c>
      <c r="E1635" s="5" t="s">
        <v>493</v>
      </c>
      <c r="F1635" s="9">
        <v>104</v>
      </c>
      <c r="G1635" s="9">
        <v>1111</v>
      </c>
      <c r="H1635" s="5" t="s">
        <v>21</v>
      </c>
      <c r="I1635" s="5" t="s">
        <v>4301</v>
      </c>
      <c r="J1635" s="12" t="str">
        <f>HYPERLINK("https://www.boe.es/gazeta/dias/1803/12/27/pdfs/GMD-1803-104.pdf#page=3","Abrir facsímil")</f>
        <v>Abrir facsímil</v>
      </c>
      <c r="K1635" s="15" t="s">
        <v>23</v>
      </c>
    </row>
    <row r="1636" spans="1:11" ht="42" customHeight="1">
      <c r="A1636" s="4" t="s">
        <v>4302</v>
      </c>
      <c r="B1636" s="5" t="s">
        <v>4303</v>
      </c>
      <c r="C1636" s="5" t="s">
        <v>26</v>
      </c>
      <c r="D1636" s="5" t="s">
        <v>27</v>
      </c>
      <c r="E1636" s="5" t="s">
        <v>272</v>
      </c>
      <c r="F1636" s="9">
        <v>25</v>
      </c>
      <c r="G1636" s="9">
        <v>261</v>
      </c>
      <c r="H1636" s="5" t="s">
        <v>21</v>
      </c>
      <c r="I1636" s="5" t="s">
        <v>4304</v>
      </c>
      <c r="J1636" s="12" t="str">
        <f>HYPERLINK("https://www.boe.es/gazeta/dias/1803/03/29/pdfs/GMD-1803-25.pdf#page=1","Abrir facsímil")</f>
        <v>Abrir facsímil</v>
      </c>
      <c r="K1636" s="15" t="s">
        <v>23</v>
      </c>
    </row>
    <row r="1637" spans="1:11" ht="42" customHeight="1">
      <c r="A1637" s="4" t="s">
        <v>4305</v>
      </c>
      <c r="B1637" s="5" t="s">
        <v>4305</v>
      </c>
      <c r="C1637" s="5" t="s">
        <v>40</v>
      </c>
      <c r="D1637" s="5" t="s">
        <v>41</v>
      </c>
      <c r="E1637" s="5" t="s">
        <v>407</v>
      </c>
      <c r="F1637" s="9">
        <v>82</v>
      </c>
      <c r="G1637" s="9">
        <v>878</v>
      </c>
      <c r="H1637" s="5" t="s">
        <v>21</v>
      </c>
      <c r="I1637" s="5" t="s">
        <v>4306</v>
      </c>
      <c r="J1637" s="12" t="str">
        <f>HYPERLINK("https://www.boe.es/gazeta/dias/1803/10/11/pdfs/GMD-1803-82.pdf#page=2","Abrir facsímil")</f>
        <v>Abrir facsímil</v>
      </c>
      <c r="K1637" s="15" t="s">
        <v>23</v>
      </c>
    </row>
    <row r="1638" spans="1:11" ht="42" customHeight="1">
      <c r="A1638" s="4" t="s">
        <v>4307</v>
      </c>
      <c r="B1638" s="5" t="s">
        <v>4307</v>
      </c>
      <c r="C1638" s="5" t="s">
        <v>26</v>
      </c>
      <c r="D1638" s="5" t="s">
        <v>27</v>
      </c>
      <c r="E1638" s="5" t="s">
        <v>795</v>
      </c>
      <c r="F1638" s="9">
        <v>98</v>
      </c>
      <c r="G1638" s="9">
        <v>1046</v>
      </c>
      <c r="H1638" s="5" t="s">
        <v>21</v>
      </c>
      <c r="I1638" s="5" t="s">
        <v>4308</v>
      </c>
      <c r="J1638" s="12" t="str">
        <f>HYPERLINK("https://www.boe.es/gazeta/dias/1803/12/06/pdfs/GMD-1803-98.pdf#page=2","Abrir facsímil")</f>
        <v>Abrir facsímil</v>
      </c>
      <c r="K1638" s="15" t="s">
        <v>23</v>
      </c>
    </row>
    <row r="1639" spans="1:11" ht="42" customHeight="1">
      <c r="A1639" s="4" t="s">
        <v>4309</v>
      </c>
      <c r="B1639" s="5" t="s">
        <v>4309</v>
      </c>
      <c r="C1639" s="5" t="s">
        <v>18</v>
      </c>
      <c r="D1639" s="5" t="s">
        <v>19</v>
      </c>
      <c r="E1639" s="5" t="s">
        <v>369</v>
      </c>
      <c r="F1639" s="9">
        <v>100</v>
      </c>
      <c r="G1639" s="9">
        <v>1068</v>
      </c>
      <c r="H1639" s="5" t="s">
        <v>21</v>
      </c>
      <c r="I1639" s="5" t="s">
        <v>4310</v>
      </c>
      <c r="J1639" s="12" t="str">
        <f>HYPERLINK("https://www.boe.es/gazeta/dias/1803/12/13/pdfs/GMD-1803-100.pdf#page=4","Abrir facsímil")</f>
        <v>Abrir facsímil</v>
      </c>
      <c r="K1639" s="15" t="s">
        <v>23</v>
      </c>
    </row>
    <row r="1640" spans="1:11" ht="42" customHeight="1">
      <c r="A1640" s="4" t="s">
        <v>4311</v>
      </c>
      <c r="B1640" s="5" t="s">
        <v>4311</v>
      </c>
      <c r="C1640" s="5" t="s">
        <v>40</v>
      </c>
      <c r="D1640" s="5" t="s">
        <v>41</v>
      </c>
      <c r="E1640" s="5" t="s">
        <v>293</v>
      </c>
      <c r="F1640" s="9">
        <v>45</v>
      </c>
      <c r="G1640" s="9">
        <v>468</v>
      </c>
      <c r="H1640" s="5" t="s">
        <v>21</v>
      </c>
      <c r="I1640" s="5" t="s">
        <v>4312</v>
      </c>
      <c r="J1640" s="12" t="str">
        <f>HYPERLINK("https://www.boe.es/gazeta/dias/1803/06/07/pdfs/GMD-1803-45.pdf#page=4","Abrir facsímil")</f>
        <v>Abrir facsímil</v>
      </c>
      <c r="K1640" s="15" t="s">
        <v>23</v>
      </c>
    </row>
    <row r="1641" spans="1:11" ht="42" customHeight="1">
      <c r="A1641" s="4" t="s">
        <v>4313</v>
      </c>
      <c r="B1641" s="5" t="s">
        <v>4313</v>
      </c>
      <c r="C1641" s="5" t="s">
        <v>26</v>
      </c>
      <c r="D1641" s="5" t="s">
        <v>27</v>
      </c>
      <c r="E1641" s="5" t="s">
        <v>403</v>
      </c>
      <c r="F1641" s="9">
        <v>91</v>
      </c>
      <c r="G1641" s="9">
        <v>970</v>
      </c>
      <c r="H1641" s="5" t="s">
        <v>21</v>
      </c>
      <c r="I1641" s="5" t="s">
        <v>4314</v>
      </c>
      <c r="J1641" s="12" t="str">
        <f>HYPERLINK("https://www.boe.es/gazeta/dias/1803/11/11/pdfs/GMD-1803-91.pdf#page=2","Abrir facsímil")</f>
        <v>Abrir facsímil</v>
      </c>
      <c r="K1641" s="15" t="s">
        <v>23</v>
      </c>
    </row>
    <row r="1642" spans="1:11" ht="42" customHeight="1">
      <c r="A1642" s="4" t="s">
        <v>4315</v>
      </c>
      <c r="B1642" s="5" t="s">
        <v>4315</v>
      </c>
      <c r="C1642" s="5" t="s">
        <v>51</v>
      </c>
      <c r="D1642" s="5" t="s">
        <v>52</v>
      </c>
      <c r="E1642" s="5" t="s">
        <v>256</v>
      </c>
      <c r="F1642" s="9">
        <v>1</v>
      </c>
      <c r="G1642" s="9">
        <v>5</v>
      </c>
      <c r="H1642" s="5" t="s">
        <v>21</v>
      </c>
      <c r="I1642" s="5" t="s">
        <v>4316</v>
      </c>
      <c r="J1642" s="12" t="str">
        <f>HYPERLINK("https://www.boe.es/gazeta/dias/1803/01/04/pdfs/GMD-1803-1.pdf#page=5","Abrir facsímil")</f>
        <v>Abrir facsímil</v>
      </c>
      <c r="K1642" s="15" t="s">
        <v>23</v>
      </c>
    </row>
    <row r="1643" spans="1:11" ht="42" customHeight="1">
      <c r="A1643" s="4" t="s">
        <v>4317</v>
      </c>
      <c r="B1643" s="5" t="s">
        <v>4317</v>
      </c>
      <c r="C1643" s="5" t="s">
        <v>40</v>
      </c>
      <c r="D1643" s="5" t="s">
        <v>41</v>
      </c>
      <c r="E1643" s="5" t="s">
        <v>42</v>
      </c>
      <c r="F1643" s="9">
        <v>10</v>
      </c>
      <c r="G1643" s="9">
        <v>98</v>
      </c>
      <c r="H1643" s="5" t="s">
        <v>21</v>
      </c>
      <c r="I1643" s="5" t="s">
        <v>4318</v>
      </c>
      <c r="J1643" s="12" t="str">
        <f>HYPERLINK("https://www.boe.es/gazeta/dias/1803/02/04/pdfs/GMD-1803-10.pdf#page=2","Abrir facsímil")</f>
        <v>Abrir facsímil</v>
      </c>
      <c r="K1643" s="15" t="s">
        <v>23</v>
      </c>
    </row>
    <row r="1644" spans="1:11" ht="42" customHeight="1">
      <c r="A1644" s="4" t="s">
        <v>4319</v>
      </c>
      <c r="B1644" s="5" t="s">
        <v>4319</v>
      </c>
      <c r="C1644" s="5" t="s">
        <v>40</v>
      </c>
      <c r="D1644" s="5" t="s">
        <v>41</v>
      </c>
      <c r="E1644" s="5" t="s">
        <v>619</v>
      </c>
      <c r="F1644" s="9">
        <v>53</v>
      </c>
      <c r="G1644" s="9">
        <v>576</v>
      </c>
      <c r="H1644" s="5" t="s">
        <v>21</v>
      </c>
      <c r="I1644" s="5" t="s">
        <v>4320</v>
      </c>
      <c r="J1644" s="12" t="str">
        <f>HYPERLINK("https://www.boe.es/gazeta/dias/1803/07/05/pdfs/GMD-1803-53.pdf#page=8","Abrir facsímil")</f>
        <v>Abrir facsímil</v>
      </c>
      <c r="K1644" s="15" t="s">
        <v>23</v>
      </c>
    </row>
    <row r="1645" spans="1:11" ht="42" customHeight="1">
      <c r="A1645" s="4" t="s">
        <v>4321</v>
      </c>
      <c r="B1645" s="5" t="s">
        <v>4321</v>
      </c>
      <c r="C1645" s="5" t="s">
        <v>26</v>
      </c>
      <c r="D1645" s="5" t="s">
        <v>27</v>
      </c>
      <c r="E1645" s="5" t="s">
        <v>784</v>
      </c>
      <c r="F1645" s="9">
        <v>86</v>
      </c>
      <c r="G1645" s="9">
        <v>926</v>
      </c>
      <c r="H1645" s="5" t="s">
        <v>21</v>
      </c>
      <c r="I1645" s="5" t="s">
        <v>4322</v>
      </c>
      <c r="J1645" s="12" t="str">
        <f>HYPERLINK("https://www.boe.es/gazeta/dias/1803/10/25/pdfs/GMD-1803-86.pdf#page=6","Abrir facsímil")</f>
        <v>Abrir facsímil</v>
      </c>
      <c r="K1645" s="15" t="s">
        <v>23</v>
      </c>
    </row>
    <row r="1646" spans="1:11" ht="42" customHeight="1">
      <c r="A1646" s="4" t="s">
        <v>4323</v>
      </c>
      <c r="B1646" s="5" t="s">
        <v>4324</v>
      </c>
      <c r="C1646" s="5" t="s">
        <v>40</v>
      </c>
      <c r="D1646" s="5" t="s">
        <v>41</v>
      </c>
      <c r="E1646" s="5" t="s">
        <v>609</v>
      </c>
      <c r="F1646" s="9">
        <v>57</v>
      </c>
      <c r="G1646" s="9">
        <v>614</v>
      </c>
      <c r="H1646" s="5" t="s">
        <v>21</v>
      </c>
      <c r="I1646" s="5" t="s">
        <v>4325</v>
      </c>
      <c r="J1646" s="12" t="str">
        <f>HYPERLINK("https://www.boe.es/gazeta/dias/1803/07/19/pdfs/GMD-1803-57.pdf#page=2","Abrir facsímil")</f>
        <v>Abrir facsímil</v>
      </c>
      <c r="K1646" s="15" t="s">
        <v>23</v>
      </c>
    </row>
    <row r="1647" spans="1:11" ht="42" customHeight="1">
      <c r="A1647" s="4" t="s">
        <v>4326</v>
      </c>
      <c r="B1647" s="5" t="s">
        <v>4327</v>
      </c>
      <c r="C1647" s="5" t="s">
        <v>40</v>
      </c>
      <c r="D1647" s="5" t="s">
        <v>41</v>
      </c>
      <c r="E1647" s="5" t="s">
        <v>28</v>
      </c>
      <c r="F1647" s="9">
        <v>92</v>
      </c>
      <c r="G1647" s="9">
        <v>982</v>
      </c>
      <c r="H1647" s="5" t="s">
        <v>21</v>
      </c>
      <c r="I1647" s="5" t="s">
        <v>4328</v>
      </c>
      <c r="J1647" s="12" t="str">
        <f>HYPERLINK("https://www.boe.es/gazeta/dias/1803/11/15/pdfs/GMD-1803-92.pdf#page=2","Abrir facsímil")</f>
        <v>Abrir facsímil</v>
      </c>
      <c r="K1647" s="15" t="s">
        <v>23</v>
      </c>
    </row>
    <row r="1648" spans="1:11" ht="42" customHeight="1">
      <c r="A1648" s="4" t="s">
        <v>4329</v>
      </c>
      <c r="B1648" s="5" t="s">
        <v>4330</v>
      </c>
      <c r="C1648" s="5" t="s">
        <v>40</v>
      </c>
      <c r="D1648" s="5" t="s">
        <v>41</v>
      </c>
      <c r="E1648" s="5" t="s">
        <v>403</v>
      </c>
      <c r="F1648" s="9">
        <v>91</v>
      </c>
      <c r="G1648" s="9">
        <v>973</v>
      </c>
      <c r="H1648" s="5" t="s">
        <v>21</v>
      </c>
      <c r="I1648" s="5" t="s">
        <v>4331</v>
      </c>
      <c r="J1648" s="12" t="str">
        <f>HYPERLINK("https://www.boe.es/gazeta/dias/1803/11/11/pdfs/GMD-1803-91.pdf#page=5","Abrir facsímil")</f>
        <v>Abrir facsímil</v>
      </c>
      <c r="K1648" s="15" t="s">
        <v>23</v>
      </c>
    </row>
    <row r="1649" spans="1:11" ht="42" customHeight="1">
      <c r="A1649" s="4" t="s">
        <v>4332</v>
      </c>
      <c r="B1649" s="5" t="s">
        <v>4333</v>
      </c>
      <c r="C1649" s="5" t="s">
        <v>40</v>
      </c>
      <c r="D1649" s="5" t="s">
        <v>41</v>
      </c>
      <c r="E1649" s="5" t="s">
        <v>407</v>
      </c>
      <c r="F1649" s="9">
        <v>82</v>
      </c>
      <c r="G1649" s="9">
        <v>880</v>
      </c>
      <c r="H1649" s="5" t="s">
        <v>21</v>
      </c>
      <c r="I1649" s="5" t="s">
        <v>4334</v>
      </c>
      <c r="J1649" s="12" t="str">
        <f>HYPERLINK("https://www.boe.es/gazeta/dias/1803/10/11/pdfs/GMD-1803-82.pdf#page=4","Abrir facsímil")</f>
        <v>Abrir facsímil</v>
      </c>
      <c r="K1649" s="15" t="s">
        <v>23</v>
      </c>
    </row>
    <row r="1650" spans="1:11" ht="42" customHeight="1">
      <c r="A1650" s="4" t="s">
        <v>4335</v>
      </c>
      <c r="B1650" s="5" t="s">
        <v>4336</v>
      </c>
      <c r="C1650" s="5" t="s">
        <v>40</v>
      </c>
      <c r="D1650" s="5" t="s">
        <v>41</v>
      </c>
      <c r="E1650" s="5" t="s">
        <v>152</v>
      </c>
      <c r="F1650" s="9">
        <v>16</v>
      </c>
      <c r="G1650" s="9">
        <v>163</v>
      </c>
      <c r="H1650" s="5" t="s">
        <v>21</v>
      </c>
      <c r="I1650" s="5" t="s">
        <v>4337</v>
      </c>
      <c r="J1650" s="12" t="str">
        <f>HYPERLINK("https://www.boe.es/gazeta/dias/1803/02/25/pdfs/GMD-1803-16.pdf#page=3","Abrir facsímil")</f>
        <v>Abrir facsímil</v>
      </c>
      <c r="K1650" s="15" t="s">
        <v>23</v>
      </c>
    </row>
    <row r="1651" spans="1:11" ht="42" customHeight="1">
      <c r="A1651" s="4" t="s">
        <v>4338</v>
      </c>
      <c r="B1651" s="5" t="s">
        <v>4338</v>
      </c>
      <c r="C1651" s="5" t="s">
        <v>80</v>
      </c>
      <c r="D1651" s="5" t="s">
        <v>81</v>
      </c>
      <c r="E1651" s="5" t="s">
        <v>156</v>
      </c>
      <c r="F1651" s="9">
        <v>2</v>
      </c>
      <c r="G1651" s="9">
        <v>20</v>
      </c>
      <c r="H1651" s="5" t="s">
        <v>21</v>
      </c>
      <c r="I1651" s="5" t="s">
        <v>4339</v>
      </c>
      <c r="J1651" s="12" t="str">
        <f>HYPERLINK("https://www.boe.es/gazeta/dias/1803/01/07/pdfs/GMD-1803-2.pdf#page=12","Abrir facsímil")</f>
        <v>Abrir facsímil</v>
      </c>
      <c r="K1651" s="15" t="s">
        <v>23</v>
      </c>
    </row>
    <row r="1652" spans="1:11" ht="42" customHeight="1">
      <c r="A1652" s="4" t="s">
        <v>4340</v>
      </c>
      <c r="B1652" s="5" t="s">
        <v>4341</v>
      </c>
      <c r="C1652" s="5" t="s">
        <v>51</v>
      </c>
      <c r="D1652" s="5" t="s">
        <v>52</v>
      </c>
      <c r="E1652" s="5" t="s">
        <v>509</v>
      </c>
      <c r="F1652" s="9">
        <v>6</v>
      </c>
      <c r="G1652" s="9">
        <v>51</v>
      </c>
      <c r="H1652" s="5" t="s">
        <v>21</v>
      </c>
      <c r="I1652" s="5" t="s">
        <v>4342</v>
      </c>
      <c r="J1652" s="12" t="str">
        <f>HYPERLINK("https://www.boe.es/gazeta/dias/1803/01/21/pdfs/GMD-1803-6.pdf#page=3","Abrir facsímil")</f>
        <v>Abrir facsímil</v>
      </c>
      <c r="K1652" s="15" t="s">
        <v>23</v>
      </c>
    </row>
    <row r="1653" spans="1:11" ht="42" customHeight="1">
      <c r="A1653" s="4" t="s">
        <v>4343</v>
      </c>
      <c r="B1653" s="5" t="s">
        <v>4344</v>
      </c>
      <c r="C1653" s="5" t="s">
        <v>40</v>
      </c>
      <c r="D1653" s="5" t="s">
        <v>41</v>
      </c>
      <c r="E1653" s="5" t="s">
        <v>1279</v>
      </c>
      <c r="F1653" s="9">
        <v>3</v>
      </c>
      <c r="G1653" s="9">
        <v>21</v>
      </c>
      <c r="H1653" s="5" t="s">
        <v>21</v>
      </c>
      <c r="I1653" s="5" t="s">
        <v>4345</v>
      </c>
      <c r="J1653" s="12" t="str">
        <f>HYPERLINK("https://www.boe.es/gazeta/dias/1803/01/11/pdfs/GMD-1803-3.pdf#page=1","Abrir facsímil")</f>
        <v>Abrir facsímil</v>
      </c>
      <c r="K1653" s="15" t="s">
        <v>23</v>
      </c>
    </row>
    <row r="1654" spans="1:11" ht="42" customHeight="1">
      <c r="A1654" s="4" t="s">
        <v>4343</v>
      </c>
      <c r="B1654" s="5" t="s">
        <v>4344</v>
      </c>
      <c r="C1654" s="5" t="s">
        <v>51</v>
      </c>
      <c r="D1654" s="5" t="s">
        <v>52</v>
      </c>
      <c r="E1654" s="5" t="s">
        <v>509</v>
      </c>
      <c r="F1654" s="9">
        <v>6</v>
      </c>
      <c r="G1654" s="9">
        <v>51</v>
      </c>
      <c r="H1654" s="5" t="s">
        <v>21</v>
      </c>
      <c r="I1654" s="5" t="s">
        <v>4346</v>
      </c>
      <c r="J1654" s="12" t="str">
        <f>HYPERLINK("https://www.boe.es/gazeta/dias/1803/01/21/pdfs/GMD-1803-6.pdf#page=3","Abrir facsímil")</f>
        <v>Abrir facsímil</v>
      </c>
      <c r="K1654" s="15" t="s">
        <v>23</v>
      </c>
    </row>
    <row r="1655" spans="1:11" ht="42" customHeight="1">
      <c r="A1655" s="4" t="s">
        <v>4343</v>
      </c>
      <c r="B1655" s="5" t="s">
        <v>4344</v>
      </c>
      <c r="C1655" s="5" t="s">
        <v>51</v>
      </c>
      <c r="D1655" s="5" t="s">
        <v>52</v>
      </c>
      <c r="E1655" s="5" t="s">
        <v>148</v>
      </c>
      <c r="F1655" s="9">
        <v>15</v>
      </c>
      <c r="G1655" s="9">
        <v>151</v>
      </c>
      <c r="H1655" s="5" t="s">
        <v>21</v>
      </c>
      <c r="I1655" s="5" t="s">
        <v>4347</v>
      </c>
      <c r="J1655" s="12" t="str">
        <f>HYPERLINK("https://www.boe.es/gazeta/dias/1803/02/22/pdfs/GMD-1803-15.pdf#page=3","Abrir facsímil")</f>
        <v>Abrir facsímil</v>
      </c>
      <c r="K1655" s="15" t="s">
        <v>23</v>
      </c>
    </row>
    <row r="1656" spans="1:11" ht="42" customHeight="1">
      <c r="A1656" s="4" t="s">
        <v>4343</v>
      </c>
      <c r="B1656" s="5" t="s">
        <v>4344</v>
      </c>
      <c r="C1656" s="5" t="s">
        <v>26</v>
      </c>
      <c r="D1656" s="5" t="s">
        <v>27</v>
      </c>
      <c r="E1656" s="5" t="s">
        <v>214</v>
      </c>
      <c r="F1656" s="9">
        <v>17</v>
      </c>
      <c r="G1656" s="9">
        <v>174</v>
      </c>
      <c r="H1656" s="5" t="s">
        <v>21</v>
      </c>
      <c r="I1656" s="5" t="s">
        <v>4348</v>
      </c>
      <c r="J1656" s="12" t="str">
        <f>HYPERLINK("https://www.boe.es/gazeta/dias/1803/03/01/pdfs/GMD-1803-17.pdf#page=6","Abrir facsímil")</f>
        <v>Abrir facsímil</v>
      </c>
      <c r="K1656" s="15" t="s">
        <v>23</v>
      </c>
    </row>
    <row r="1657" spans="1:11" ht="42" customHeight="1">
      <c r="A1657" s="4" t="s">
        <v>4343</v>
      </c>
      <c r="B1657" s="5" t="s">
        <v>4344</v>
      </c>
      <c r="C1657" s="5" t="s">
        <v>40</v>
      </c>
      <c r="D1657" s="5" t="s">
        <v>41</v>
      </c>
      <c r="E1657" s="5" t="s">
        <v>83</v>
      </c>
      <c r="F1657" s="9">
        <v>28</v>
      </c>
      <c r="G1657" s="9">
        <v>297</v>
      </c>
      <c r="H1657" s="5" t="s">
        <v>21</v>
      </c>
      <c r="I1657" s="5" t="s">
        <v>4349</v>
      </c>
      <c r="J1657" s="12" t="str">
        <f>HYPERLINK("https://www.boe.es/gazeta/dias/1803/04/08/pdfs/GMD-1803-28.pdf#page=1","Abrir facsímil")</f>
        <v>Abrir facsímil</v>
      </c>
      <c r="K1657" s="15" t="s">
        <v>23</v>
      </c>
    </row>
    <row r="1658" spans="1:11" ht="42" customHeight="1">
      <c r="A1658" s="4" t="s">
        <v>4343</v>
      </c>
      <c r="B1658" s="5" t="s">
        <v>4344</v>
      </c>
      <c r="C1658" s="5" t="s">
        <v>40</v>
      </c>
      <c r="D1658" s="5" t="s">
        <v>41</v>
      </c>
      <c r="E1658" s="5" t="s">
        <v>178</v>
      </c>
      <c r="F1658" s="9">
        <v>36</v>
      </c>
      <c r="G1658" s="9">
        <v>373</v>
      </c>
      <c r="H1658" s="5" t="s">
        <v>21</v>
      </c>
      <c r="I1658" s="5" t="s">
        <v>4350</v>
      </c>
      <c r="J1658" s="12" t="str">
        <f>HYPERLINK("https://www.boe.es/gazeta/dias/1803/05/06/pdfs/GMD-1803-36.pdf#page=5","Abrir facsímil")</f>
        <v>Abrir facsímil</v>
      </c>
      <c r="K1658" s="15" t="s">
        <v>23</v>
      </c>
    </row>
    <row r="1659" spans="1:11" ht="42" customHeight="1">
      <c r="A1659" s="4" t="s">
        <v>4343</v>
      </c>
      <c r="B1659" s="5" t="s">
        <v>4344</v>
      </c>
      <c r="C1659" s="5" t="s">
        <v>40</v>
      </c>
      <c r="D1659" s="5" t="s">
        <v>41</v>
      </c>
      <c r="E1659" s="5" t="s">
        <v>93</v>
      </c>
      <c r="F1659" s="9">
        <v>43</v>
      </c>
      <c r="G1659" s="9">
        <v>448</v>
      </c>
      <c r="H1659" s="5" t="s">
        <v>21</v>
      </c>
      <c r="I1659" s="5" t="s">
        <v>4351</v>
      </c>
      <c r="J1659" s="12" t="str">
        <f>HYPERLINK("https://www.boe.es/gazeta/dias/1803/05/31/pdfs/GMD-1803-43.pdf#page=8","Abrir facsímil")</f>
        <v>Abrir facsímil</v>
      </c>
      <c r="K1659" s="15" t="s">
        <v>23</v>
      </c>
    </row>
    <row r="1660" spans="1:11" ht="42" customHeight="1">
      <c r="A1660" s="4" t="s">
        <v>4343</v>
      </c>
      <c r="B1660" s="5" t="s">
        <v>4344</v>
      </c>
      <c r="C1660" s="5" t="s">
        <v>46</v>
      </c>
      <c r="D1660" s="5" t="s">
        <v>19</v>
      </c>
      <c r="E1660" s="5" t="s">
        <v>28</v>
      </c>
      <c r="F1660" s="9">
        <v>92</v>
      </c>
      <c r="G1660" s="9">
        <v>985</v>
      </c>
      <c r="H1660" s="5" t="s">
        <v>21</v>
      </c>
      <c r="I1660" s="5" t="s">
        <v>4352</v>
      </c>
      <c r="J1660" s="12" t="str">
        <f>HYPERLINK("https://www.boe.es/gazeta/dias/1803/11/15/pdfs/GMD-1803-92.pdf#page=5","Abrir facsímil")</f>
        <v>Abrir facsímil</v>
      </c>
      <c r="K1660" s="15" t="s">
        <v>23</v>
      </c>
    </row>
    <row r="1661" spans="1:11" ht="42" customHeight="1">
      <c r="A1661" s="4" t="s">
        <v>4353</v>
      </c>
      <c r="B1661" s="5" t="s">
        <v>4353</v>
      </c>
      <c r="C1661" s="5" t="s">
        <v>51</v>
      </c>
      <c r="D1661" s="5" t="s">
        <v>52</v>
      </c>
      <c r="E1661" s="5" t="s">
        <v>1846</v>
      </c>
      <c r="F1661" s="9">
        <v>89</v>
      </c>
      <c r="G1661" s="9">
        <v>958</v>
      </c>
      <c r="H1661" s="5" t="s">
        <v>21</v>
      </c>
      <c r="I1661" s="5" t="s">
        <v>4354</v>
      </c>
      <c r="J1661" s="12" t="str">
        <f>HYPERLINK("https://www.boe.es/gazeta/dias/1803/11/04/pdfs/GMD-1803-89.pdf#page=6","Abrir facsímil")</f>
        <v>Abrir facsímil</v>
      </c>
      <c r="K1661" s="15" t="s">
        <v>23</v>
      </c>
    </row>
    <row r="1662" spans="1:11" ht="42" customHeight="1">
      <c r="A1662" s="4" t="s">
        <v>4355</v>
      </c>
      <c r="B1662" s="5" t="s">
        <v>4355</v>
      </c>
      <c r="C1662" s="5" t="s">
        <v>80</v>
      </c>
      <c r="D1662" s="5" t="s">
        <v>81</v>
      </c>
      <c r="E1662" s="5" t="s">
        <v>77</v>
      </c>
      <c r="F1662" s="9">
        <v>64</v>
      </c>
      <c r="G1662" s="9">
        <v>700</v>
      </c>
      <c r="H1662" s="5" t="s">
        <v>21</v>
      </c>
      <c r="I1662" s="5" t="s">
        <v>4356</v>
      </c>
      <c r="J1662" s="12" t="str">
        <f>HYPERLINK("https://www.boe.es/gazeta/dias/1803/08/12/pdfs/GMD-1803-64.pdf#page=8","Abrir facsímil")</f>
        <v>Abrir facsímil</v>
      </c>
      <c r="K1662" s="15" t="s">
        <v>23</v>
      </c>
    </row>
    <row r="1663" spans="1:11" ht="42" customHeight="1">
      <c r="A1663" s="4" t="s">
        <v>4357</v>
      </c>
      <c r="B1663" s="5" t="s">
        <v>4358</v>
      </c>
      <c r="C1663" s="5" t="s">
        <v>51</v>
      </c>
      <c r="D1663" s="5" t="s">
        <v>52</v>
      </c>
      <c r="E1663" s="5" t="s">
        <v>113</v>
      </c>
      <c r="F1663" s="9">
        <v>93</v>
      </c>
      <c r="G1663" s="9">
        <v>1000</v>
      </c>
      <c r="H1663" s="5" t="s">
        <v>21</v>
      </c>
      <c r="I1663" s="5" t="s">
        <v>4359</v>
      </c>
      <c r="J1663" s="12" t="str">
        <f>HYPERLINK("https://www.boe.es/gazeta/dias/1803/11/18/pdfs/GMD-1803-93.pdf#page=12","Abrir facsímil")</f>
        <v>Abrir facsímil</v>
      </c>
      <c r="K1663" s="15" t="s">
        <v>23</v>
      </c>
    </row>
    <row r="1664" spans="1:11" ht="42" customHeight="1">
      <c r="A1664" s="4" t="s">
        <v>4360</v>
      </c>
      <c r="B1664" s="5" t="s">
        <v>4361</v>
      </c>
      <c r="C1664" s="5" t="s">
        <v>26</v>
      </c>
      <c r="D1664" s="5" t="s">
        <v>27</v>
      </c>
      <c r="E1664" s="5" t="s">
        <v>148</v>
      </c>
      <c r="F1664" s="9">
        <v>15</v>
      </c>
      <c r="G1664" s="9">
        <v>157</v>
      </c>
      <c r="H1664" s="5" t="s">
        <v>21</v>
      </c>
      <c r="I1664" s="5" t="s">
        <v>4362</v>
      </c>
      <c r="J1664" s="12" t="str">
        <f>HYPERLINK("https://www.boe.es/gazeta/dias/1803/02/22/pdfs/GMD-1803-15.pdf#page=9","Abrir facsímil")</f>
        <v>Abrir facsímil</v>
      </c>
      <c r="K1664" s="15" t="s">
        <v>23</v>
      </c>
    </row>
    <row r="1665" spans="1:11" ht="42" customHeight="1">
      <c r="A1665" s="4" t="s">
        <v>4363</v>
      </c>
      <c r="B1665" s="5" t="s">
        <v>4364</v>
      </c>
      <c r="C1665" s="5" t="s">
        <v>51</v>
      </c>
      <c r="D1665" s="5" t="s">
        <v>52</v>
      </c>
      <c r="E1665" s="5" t="s">
        <v>340</v>
      </c>
      <c r="F1665" s="9">
        <v>55</v>
      </c>
      <c r="G1665" s="9">
        <v>598</v>
      </c>
      <c r="H1665" s="5" t="s">
        <v>21</v>
      </c>
      <c r="I1665" s="5" t="s">
        <v>4365</v>
      </c>
      <c r="J1665" s="12" t="str">
        <f>HYPERLINK("https://www.boe.es/gazeta/dias/1803/07/12/pdfs/GMD-1803-55.pdf#page=6","Abrir facsímil")</f>
        <v>Abrir facsímil</v>
      </c>
      <c r="K1665" s="15" t="s">
        <v>23</v>
      </c>
    </row>
    <row r="1666" spans="1:11" ht="42" customHeight="1">
      <c r="A1666" s="4" t="s">
        <v>4366</v>
      </c>
      <c r="B1666" s="5" t="s">
        <v>4367</v>
      </c>
      <c r="C1666" s="5" t="s">
        <v>40</v>
      </c>
      <c r="D1666" s="5" t="s">
        <v>41</v>
      </c>
      <c r="E1666" s="5" t="s">
        <v>501</v>
      </c>
      <c r="F1666" s="9">
        <v>22</v>
      </c>
      <c r="G1666" s="9">
        <v>230</v>
      </c>
      <c r="H1666" s="5" t="s">
        <v>21</v>
      </c>
      <c r="I1666" s="5" t="s">
        <v>4368</v>
      </c>
      <c r="J1666" s="12" t="str">
        <f>HYPERLINK("https://www.boe.es/gazeta/dias/1803/03/18/pdfs/GMD-1803-22.pdf#page=2","Abrir facsímil")</f>
        <v>Abrir facsímil</v>
      </c>
      <c r="K1666" s="15" t="s">
        <v>23</v>
      </c>
    </row>
    <row r="1667" spans="1:11" ht="42" customHeight="1">
      <c r="A1667" s="4" t="s">
        <v>4366</v>
      </c>
      <c r="B1667" s="5" t="s">
        <v>4367</v>
      </c>
      <c r="C1667" s="5" t="s">
        <v>46</v>
      </c>
      <c r="D1667" s="5" t="s">
        <v>19</v>
      </c>
      <c r="E1667" s="5" t="s">
        <v>501</v>
      </c>
      <c r="F1667" s="9">
        <v>22</v>
      </c>
      <c r="G1667" s="9">
        <v>231</v>
      </c>
      <c r="H1667" s="5" t="s">
        <v>21</v>
      </c>
      <c r="I1667" s="5" t="s">
        <v>4369</v>
      </c>
      <c r="J1667" s="12" t="str">
        <f>HYPERLINK("https://www.boe.es/gazeta/dias/1803/03/18/pdfs/GMD-1803-22.pdf#page=3","Abrir facsímil")</f>
        <v>Abrir facsímil</v>
      </c>
      <c r="K1667" s="15" t="s">
        <v>23</v>
      </c>
    </row>
    <row r="1668" spans="1:11" ht="42" customHeight="1">
      <c r="A1668" s="4" t="s">
        <v>4366</v>
      </c>
      <c r="B1668" s="5" t="s">
        <v>4367</v>
      </c>
      <c r="C1668" s="5" t="s">
        <v>40</v>
      </c>
      <c r="D1668" s="5" t="s">
        <v>41</v>
      </c>
      <c r="E1668" s="5" t="s">
        <v>191</v>
      </c>
      <c r="F1668" s="9">
        <v>34</v>
      </c>
      <c r="G1668" s="9">
        <v>355</v>
      </c>
      <c r="H1668" s="5" t="s">
        <v>21</v>
      </c>
      <c r="I1668" s="5" t="s">
        <v>4370</v>
      </c>
      <c r="J1668" s="12" t="str">
        <f>HYPERLINK("https://www.boe.es/gazeta/dias/1803/04/29/pdfs/GMD-1803-34.pdf#page=3","Abrir facsímil")</f>
        <v>Abrir facsímil</v>
      </c>
      <c r="K1668" s="15" t="s">
        <v>23</v>
      </c>
    </row>
    <row r="1669" spans="1:11" ht="42" customHeight="1">
      <c r="A1669" s="4" t="s">
        <v>4371</v>
      </c>
      <c r="B1669" s="5" t="s">
        <v>4371</v>
      </c>
      <c r="C1669" s="5" t="s">
        <v>26</v>
      </c>
      <c r="D1669" s="5" t="s">
        <v>27</v>
      </c>
      <c r="E1669" s="5" t="s">
        <v>64</v>
      </c>
      <c r="F1669" s="9">
        <v>65</v>
      </c>
      <c r="G1669" s="9">
        <v>704</v>
      </c>
      <c r="H1669" s="5" t="s">
        <v>21</v>
      </c>
      <c r="I1669" s="5" t="s">
        <v>4372</v>
      </c>
      <c r="J1669" s="12" t="str">
        <f>HYPERLINK("https://www.boe.es/gazeta/dias/1803/08/16/pdfs/GMD-1803-65.pdf#page=4","Abrir facsímil")</f>
        <v>Abrir facsímil</v>
      </c>
      <c r="K1669" s="15" t="s">
        <v>23</v>
      </c>
    </row>
    <row r="1670" spans="1:11" ht="42" customHeight="1">
      <c r="A1670" s="4" t="s">
        <v>4371</v>
      </c>
      <c r="B1670" s="5" t="s">
        <v>4371</v>
      </c>
      <c r="C1670" s="5" t="s">
        <v>40</v>
      </c>
      <c r="D1670" s="5" t="s">
        <v>41</v>
      </c>
      <c r="E1670" s="5" t="s">
        <v>373</v>
      </c>
      <c r="F1670" s="9">
        <v>77</v>
      </c>
      <c r="G1670" s="9">
        <v>829</v>
      </c>
      <c r="H1670" s="5" t="s">
        <v>21</v>
      </c>
      <c r="I1670" s="5" t="s">
        <v>4373</v>
      </c>
      <c r="J1670" s="12" t="str">
        <f>HYPERLINK("https://www.boe.es/gazeta/dias/1803/09/23/pdfs/GMD-1803-77.pdf#page=5","Abrir facsímil")</f>
        <v>Abrir facsímil</v>
      </c>
      <c r="K1670" s="15" t="s">
        <v>23</v>
      </c>
    </row>
    <row r="1671" spans="1:11" ht="42" customHeight="1">
      <c r="A1671" s="4" t="s">
        <v>4374</v>
      </c>
      <c r="B1671" s="5" t="s">
        <v>4374</v>
      </c>
      <c r="C1671" s="5" t="s">
        <v>40</v>
      </c>
      <c r="D1671" s="5" t="s">
        <v>41</v>
      </c>
      <c r="E1671" s="5" t="s">
        <v>164</v>
      </c>
      <c r="F1671" s="9">
        <v>84</v>
      </c>
      <c r="G1671" s="9">
        <v>899</v>
      </c>
      <c r="H1671" s="5" t="s">
        <v>21</v>
      </c>
      <c r="I1671" s="5" t="s">
        <v>4375</v>
      </c>
      <c r="J1671" s="12" t="str">
        <f>HYPERLINK("https://www.boe.es/gazeta/dias/1803/10/18/pdfs/GMD-1803-84.pdf#page=3","Abrir facsímil")</f>
        <v>Abrir facsímil</v>
      </c>
      <c r="K1671" s="15" t="s">
        <v>23</v>
      </c>
    </row>
    <row r="1672" spans="1:11" ht="42" customHeight="1">
      <c r="A1672" s="4" t="s">
        <v>4376</v>
      </c>
      <c r="B1672" s="5" t="s">
        <v>4377</v>
      </c>
      <c r="C1672" s="5" t="s">
        <v>26</v>
      </c>
      <c r="D1672" s="5" t="s">
        <v>27</v>
      </c>
      <c r="E1672" s="5" t="s">
        <v>128</v>
      </c>
      <c r="F1672" s="9">
        <v>80</v>
      </c>
      <c r="G1672" s="9">
        <v>860</v>
      </c>
      <c r="H1672" s="5" t="s">
        <v>21</v>
      </c>
      <c r="I1672" s="5" t="s">
        <v>4378</v>
      </c>
      <c r="J1672" s="12" t="str">
        <f>HYPERLINK("https://www.boe.es/gazeta/dias/1803/10/04/pdfs/GMD-1803-80.pdf#page=4","Abrir facsímil")</f>
        <v>Abrir facsímil</v>
      </c>
      <c r="K1672" s="15" t="s">
        <v>23</v>
      </c>
    </row>
    <row r="1673" spans="1:11" ht="42" customHeight="1">
      <c r="A1673" s="4" t="s">
        <v>4379</v>
      </c>
      <c r="B1673" s="5" t="s">
        <v>4380</v>
      </c>
      <c r="C1673" s="5" t="s">
        <v>225</v>
      </c>
      <c r="D1673" s="5" t="s">
        <v>226</v>
      </c>
      <c r="E1673" s="5" t="s">
        <v>609</v>
      </c>
      <c r="F1673" s="9">
        <v>57</v>
      </c>
      <c r="G1673" s="9">
        <v>622</v>
      </c>
      <c r="H1673" s="5" t="s">
        <v>21</v>
      </c>
      <c r="I1673" s="5" t="s">
        <v>4381</v>
      </c>
      <c r="J1673" s="12" t="str">
        <f>HYPERLINK("https://www.boe.es/gazeta/dias/1803/07/19/pdfs/GMD-C-1803-57.pdf#page=2","Abrir facsímil")</f>
        <v>Abrir facsímil</v>
      </c>
      <c r="K1673" s="15" t="s">
        <v>23</v>
      </c>
    </row>
    <row r="1674" spans="1:11" ht="42" customHeight="1">
      <c r="A1674" s="4" t="s">
        <v>4382</v>
      </c>
      <c r="B1674" s="5" t="s">
        <v>4383</v>
      </c>
      <c r="C1674" s="5" t="s">
        <v>51</v>
      </c>
      <c r="D1674" s="5" t="s">
        <v>52</v>
      </c>
      <c r="E1674" s="5" t="s">
        <v>174</v>
      </c>
      <c r="F1674" s="9">
        <v>21</v>
      </c>
      <c r="G1674" s="9">
        <v>226</v>
      </c>
      <c r="H1674" s="5" t="s">
        <v>21</v>
      </c>
      <c r="I1674" s="5" t="s">
        <v>4384</v>
      </c>
      <c r="J1674" s="12" t="str">
        <f>HYPERLINK("https://www.boe.es/gazeta/dias/1803/03/15/pdfs/GMD-1803-21.pdf#page=10","Abrir facsímil")</f>
        <v>Abrir facsímil</v>
      </c>
      <c r="K1674" s="15" t="s">
        <v>23</v>
      </c>
    </row>
    <row r="1675" spans="1:11" ht="42" customHeight="1">
      <c r="A1675" s="4" t="s">
        <v>4382</v>
      </c>
      <c r="B1675" s="5" t="s">
        <v>4383</v>
      </c>
      <c r="C1675" s="5" t="s">
        <v>51</v>
      </c>
      <c r="D1675" s="5" t="s">
        <v>52</v>
      </c>
      <c r="E1675" s="5" t="s">
        <v>113</v>
      </c>
      <c r="F1675" s="9">
        <v>93</v>
      </c>
      <c r="G1675" s="9">
        <v>997</v>
      </c>
      <c r="H1675" s="5" t="s">
        <v>21</v>
      </c>
      <c r="I1675" s="5" t="s">
        <v>4385</v>
      </c>
      <c r="J1675" s="12" t="str">
        <f>HYPERLINK("https://www.boe.es/gazeta/dias/1803/11/18/pdfs/GMD-1803-93.pdf#page=9","Abrir facsímil")</f>
        <v>Abrir facsímil</v>
      </c>
      <c r="K1675" s="15" t="s">
        <v>23</v>
      </c>
    </row>
    <row r="1676" spans="1:11" ht="42" customHeight="1">
      <c r="A1676" s="4" t="s">
        <v>4386</v>
      </c>
      <c r="B1676" s="5" t="s">
        <v>4386</v>
      </c>
      <c r="C1676" s="5" t="s">
        <v>40</v>
      </c>
      <c r="D1676" s="5" t="s">
        <v>41</v>
      </c>
      <c r="E1676" s="5" t="s">
        <v>189</v>
      </c>
      <c r="F1676" s="9">
        <v>9</v>
      </c>
      <c r="G1676" s="9">
        <v>87</v>
      </c>
      <c r="H1676" s="5" t="s">
        <v>21</v>
      </c>
      <c r="I1676" s="5" t="s">
        <v>4387</v>
      </c>
      <c r="J1676" s="12" t="str">
        <f>HYPERLINK("https://www.boe.es/gazeta/dias/1803/02/01/pdfs/GMD-1803-9.pdf#page=3","Abrir facsímil")</f>
        <v>Abrir facsímil</v>
      </c>
      <c r="K1676" s="15" t="s">
        <v>23</v>
      </c>
    </row>
    <row r="1677" spans="1:11" ht="42" customHeight="1">
      <c r="A1677" s="4" t="s">
        <v>4388</v>
      </c>
      <c r="B1677" s="5" t="s">
        <v>4389</v>
      </c>
      <c r="C1677" s="5" t="s">
        <v>26</v>
      </c>
      <c r="D1677" s="5" t="s">
        <v>27</v>
      </c>
      <c r="E1677" s="5" t="s">
        <v>178</v>
      </c>
      <c r="F1677" s="9">
        <v>36</v>
      </c>
      <c r="G1677" s="9">
        <v>369</v>
      </c>
      <c r="H1677" s="5" t="s">
        <v>21</v>
      </c>
      <c r="I1677" s="5" t="s">
        <v>4390</v>
      </c>
      <c r="J1677" s="12" t="str">
        <f>HYPERLINK("https://www.boe.es/gazeta/dias/1803/05/06/pdfs/GMD-1803-36.pdf#page=1","Abrir facsímil")</f>
        <v>Abrir facsímil</v>
      </c>
      <c r="K1677" s="15" t="s">
        <v>23</v>
      </c>
    </row>
    <row r="1678" spans="1:11" ht="42" customHeight="1">
      <c r="A1678" s="4" t="s">
        <v>4388</v>
      </c>
      <c r="B1678" s="5" t="s">
        <v>4389</v>
      </c>
      <c r="C1678" s="5" t="s">
        <v>40</v>
      </c>
      <c r="D1678" s="5" t="s">
        <v>41</v>
      </c>
      <c r="E1678" s="5" t="s">
        <v>309</v>
      </c>
      <c r="F1678" s="9">
        <v>37</v>
      </c>
      <c r="G1678" s="9">
        <v>380</v>
      </c>
      <c r="H1678" s="5" t="s">
        <v>21</v>
      </c>
      <c r="I1678" s="5" t="s">
        <v>4391</v>
      </c>
      <c r="J1678" s="12" t="str">
        <f>HYPERLINK("https://www.boe.es/gazeta/dias/1803/05/10/pdfs/GMD-1803-37.pdf#page=4","Abrir facsímil")</f>
        <v>Abrir facsímil</v>
      </c>
      <c r="K1678" s="15" t="s">
        <v>23</v>
      </c>
    </row>
    <row r="1679" spans="1:11" ht="42" customHeight="1">
      <c r="A1679" s="4" t="s">
        <v>4388</v>
      </c>
      <c r="B1679" s="5" t="s">
        <v>4389</v>
      </c>
      <c r="C1679" s="5" t="s">
        <v>40</v>
      </c>
      <c r="D1679" s="5" t="s">
        <v>41</v>
      </c>
      <c r="E1679" s="5" t="s">
        <v>1051</v>
      </c>
      <c r="F1679" s="9">
        <v>40</v>
      </c>
      <c r="G1679" s="9">
        <v>417</v>
      </c>
      <c r="H1679" s="5" t="s">
        <v>21</v>
      </c>
      <c r="I1679" s="5" t="s">
        <v>4392</v>
      </c>
      <c r="J1679" s="12" t="str">
        <f>HYPERLINK("https://www.boe.es/gazeta/dias/1803/05/20/pdfs/GMD-1803-40.pdf#page=1","Abrir facsímil")</f>
        <v>Abrir facsímil</v>
      </c>
      <c r="K1679" s="15" t="s">
        <v>23</v>
      </c>
    </row>
    <row r="1680" spans="1:11" ht="42" customHeight="1">
      <c r="A1680" s="4" t="s">
        <v>4393</v>
      </c>
      <c r="B1680" s="5" t="s">
        <v>4394</v>
      </c>
      <c r="C1680" s="5" t="s">
        <v>26</v>
      </c>
      <c r="D1680" s="5" t="s">
        <v>27</v>
      </c>
      <c r="E1680" s="5" t="s">
        <v>606</v>
      </c>
      <c r="F1680" s="9">
        <v>47</v>
      </c>
      <c r="G1680" s="9">
        <v>498</v>
      </c>
      <c r="H1680" s="5" t="s">
        <v>21</v>
      </c>
      <c r="I1680" s="5" t="s">
        <v>4395</v>
      </c>
      <c r="J1680" s="12" t="str">
        <f>HYPERLINK("https://www.boe.es/gazeta/dias/1803/06/14/pdfs/GMD-1803-47.pdf#page=10","Abrir facsímil")</f>
        <v>Abrir facsímil</v>
      </c>
      <c r="K1680" s="15" t="s">
        <v>23</v>
      </c>
    </row>
    <row r="1681" spans="1:11" ht="42" customHeight="1">
      <c r="A1681" s="4" t="s">
        <v>4396</v>
      </c>
      <c r="B1681" s="5" t="s">
        <v>4397</v>
      </c>
      <c r="C1681" s="5" t="s">
        <v>51</v>
      </c>
      <c r="D1681" s="5" t="s">
        <v>52</v>
      </c>
      <c r="E1681" s="5" t="s">
        <v>309</v>
      </c>
      <c r="F1681" s="9">
        <v>37</v>
      </c>
      <c r="G1681" s="9">
        <v>384</v>
      </c>
      <c r="H1681" s="5" t="s">
        <v>21</v>
      </c>
      <c r="I1681" s="5" t="s">
        <v>4398</v>
      </c>
      <c r="J1681" s="12" t="str">
        <f>HYPERLINK("https://www.boe.es/gazeta/dias/1803/05/10/pdfs/GMD-1803-37.pdf#page=8","Abrir facsímil")</f>
        <v>Abrir facsímil</v>
      </c>
      <c r="K1681" s="15" t="s">
        <v>23</v>
      </c>
    </row>
    <row r="1682" spans="1:11" ht="42" customHeight="1">
      <c r="A1682" s="4" t="s">
        <v>4399</v>
      </c>
      <c r="B1682" s="5" t="s">
        <v>4400</v>
      </c>
      <c r="C1682" s="5" t="s">
        <v>18</v>
      </c>
      <c r="D1682" s="5" t="s">
        <v>19</v>
      </c>
      <c r="E1682" s="5" t="s">
        <v>258</v>
      </c>
      <c r="F1682" s="9">
        <v>7</v>
      </c>
      <c r="G1682" s="9">
        <v>67</v>
      </c>
      <c r="H1682" s="5" t="s">
        <v>21</v>
      </c>
      <c r="I1682" s="5" t="s">
        <v>4401</v>
      </c>
      <c r="J1682" s="12" t="str">
        <f>HYPERLINK("https://www.boe.es/gazeta/dias/1803/01/25/pdfs/GMD-1803-7.pdf#page=7","Abrir facsímil")</f>
        <v>Abrir facsímil</v>
      </c>
      <c r="K1682" s="15" t="s">
        <v>23</v>
      </c>
    </row>
    <row r="1683" spans="1:11" ht="42" customHeight="1">
      <c r="A1683" s="4" t="s">
        <v>4399</v>
      </c>
      <c r="B1683" s="5" t="s">
        <v>4400</v>
      </c>
      <c r="C1683" s="5" t="s">
        <v>18</v>
      </c>
      <c r="D1683" s="5" t="s">
        <v>19</v>
      </c>
      <c r="E1683" s="5" t="s">
        <v>88</v>
      </c>
      <c r="F1683" s="9">
        <v>18</v>
      </c>
      <c r="G1683" s="9">
        <v>183</v>
      </c>
      <c r="H1683" s="5" t="s">
        <v>21</v>
      </c>
      <c r="I1683" s="5" t="s">
        <v>4402</v>
      </c>
      <c r="J1683" s="12" t="str">
        <f>HYPERLINK("https://www.boe.es/gazeta/dias/1803/03/04/pdfs/GMD-1803-18.pdf#page=3","Abrir facsímil")</f>
        <v>Abrir facsímil</v>
      </c>
      <c r="K1683" s="15" t="s">
        <v>23</v>
      </c>
    </row>
    <row r="1684" spans="1:11" ht="42" customHeight="1">
      <c r="A1684" s="4" t="s">
        <v>4399</v>
      </c>
      <c r="B1684" s="5" t="s">
        <v>4400</v>
      </c>
      <c r="C1684" s="5" t="s">
        <v>51</v>
      </c>
      <c r="D1684" s="5" t="s">
        <v>52</v>
      </c>
      <c r="E1684" s="5" t="s">
        <v>88</v>
      </c>
      <c r="F1684" s="9">
        <v>18</v>
      </c>
      <c r="G1684" s="9">
        <v>184</v>
      </c>
      <c r="H1684" s="5" t="s">
        <v>21</v>
      </c>
      <c r="I1684" s="5" t="s">
        <v>4403</v>
      </c>
      <c r="J1684" s="12" t="str">
        <f>HYPERLINK("https://www.boe.es/gazeta/dias/1803/03/04/pdfs/GMD-1803-18.pdf#page=4","Abrir facsímil")</f>
        <v>Abrir facsímil</v>
      </c>
      <c r="K1684" s="15" t="s">
        <v>23</v>
      </c>
    </row>
    <row r="1685" spans="1:11" ht="42" customHeight="1">
      <c r="A1685" s="4" t="s">
        <v>4404</v>
      </c>
      <c r="B1685" s="5" t="s">
        <v>4405</v>
      </c>
      <c r="C1685" s="5" t="s">
        <v>40</v>
      </c>
      <c r="D1685" s="5" t="s">
        <v>41</v>
      </c>
      <c r="E1685" s="5" t="s">
        <v>77</v>
      </c>
      <c r="F1685" s="9">
        <v>64</v>
      </c>
      <c r="G1685" s="9">
        <v>695</v>
      </c>
      <c r="H1685" s="5" t="s">
        <v>21</v>
      </c>
      <c r="I1685" s="5" t="s">
        <v>4406</v>
      </c>
      <c r="J1685" s="12" t="str">
        <f>HYPERLINK("https://www.boe.es/gazeta/dias/1803/08/12/pdfs/GMD-1803-64.pdf#page=3","Abrir facsímil")</f>
        <v>Abrir facsímil</v>
      </c>
      <c r="K1685" s="15" t="s">
        <v>23</v>
      </c>
    </row>
    <row r="1686" spans="1:11" ht="42" customHeight="1">
      <c r="A1686" s="4" t="s">
        <v>4407</v>
      </c>
      <c r="B1686" s="5" t="s">
        <v>4408</v>
      </c>
      <c r="C1686" s="5" t="s">
        <v>40</v>
      </c>
      <c r="D1686" s="5" t="s">
        <v>41</v>
      </c>
      <c r="E1686" s="5" t="s">
        <v>64</v>
      </c>
      <c r="F1686" s="9">
        <v>65</v>
      </c>
      <c r="G1686" s="9">
        <v>702</v>
      </c>
      <c r="H1686" s="5" t="s">
        <v>21</v>
      </c>
      <c r="I1686" s="5" t="s">
        <v>4409</v>
      </c>
      <c r="J1686" s="12" t="str">
        <f>HYPERLINK("https://www.boe.es/gazeta/dias/1803/08/16/pdfs/GMD-1803-65.pdf#page=2","Abrir facsímil")</f>
        <v>Abrir facsímil</v>
      </c>
      <c r="K1686" s="15" t="s">
        <v>23</v>
      </c>
    </row>
    <row r="1687" spans="1:11" ht="42" customHeight="1">
      <c r="A1687" s="4" t="s">
        <v>4410</v>
      </c>
      <c r="B1687" s="5" t="s">
        <v>4411</v>
      </c>
      <c r="C1687" s="5" t="s">
        <v>40</v>
      </c>
      <c r="D1687" s="5" t="s">
        <v>41</v>
      </c>
      <c r="E1687" s="5" t="s">
        <v>93</v>
      </c>
      <c r="F1687" s="9">
        <v>43</v>
      </c>
      <c r="G1687" s="9">
        <v>448</v>
      </c>
      <c r="H1687" s="5" t="s">
        <v>21</v>
      </c>
      <c r="I1687" s="5" t="s">
        <v>4412</v>
      </c>
      <c r="J1687" s="12" t="str">
        <f>HYPERLINK("https://www.boe.es/gazeta/dias/1803/05/31/pdfs/GMD-1803-43.pdf#page=8","Abrir facsímil")</f>
        <v>Abrir facsímil</v>
      </c>
      <c r="K1687" s="15" t="s">
        <v>23</v>
      </c>
    </row>
    <row r="1688" spans="1:11" ht="42" customHeight="1">
      <c r="A1688" s="4" t="s">
        <v>4413</v>
      </c>
      <c r="B1688" s="5" t="s">
        <v>4414</v>
      </c>
      <c r="C1688" s="5" t="s">
        <v>26</v>
      </c>
      <c r="D1688" s="5" t="s">
        <v>27</v>
      </c>
      <c r="E1688" s="5" t="s">
        <v>218</v>
      </c>
      <c r="F1688" s="9">
        <v>19</v>
      </c>
      <c r="G1688" s="9">
        <v>199</v>
      </c>
      <c r="H1688" s="5" t="s">
        <v>21</v>
      </c>
      <c r="I1688" s="5" t="s">
        <v>4415</v>
      </c>
      <c r="J1688" s="12" t="str">
        <f>HYPERLINK("https://www.boe.es/gazeta/dias/1803/03/08/pdfs/GMD-1803-19.pdf#page=7","Abrir facsímil")</f>
        <v>Abrir facsímil</v>
      </c>
      <c r="K1688" s="15" t="s">
        <v>23</v>
      </c>
    </row>
    <row r="1689" spans="1:11" ht="42" customHeight="1">
      <c r="A1689" s="4" t="s">
        <v>4416</v>
      </c>
      <c r="B1689" s="5" t="s">
        <v>4417</v>
      </c>
      <c r="C1689" s="5" t="s">
        <v>26</v>
      </c>
      <c r="D1689" s="5" t="s">
        <v>27</v>
      </c>
      <c r="E1689" s="5" t="s">
        <v>967</v>
      </c>
      <c r="F1689" s="9">
        <v>35</v>
      </c>
      <c r="G1689" s="9">
        <v>367</v>
      </c>
      <c r="H1689" s="5" t="s">
        <v>21</v>
      </c>
      <c r="I1689" s="5" t="s">
        <v>4418</v>
      </c>
      <c r="J1689" s="12" t="str">
        <f>HYPERLINK("https://www.boe.es/gazeta/dias/1803/05/03/pdfs/GMD-1803-35.pdf#page=7","Abrir facsímil")</f>
        <v>Abrir facsímil</v>
      </c>
      <c r="K1689" s="15" t="s">
        <v>23</v>
      </c>
    </row>
    <row r="1690" spans="1:11" ht="42" customHeight="1">
      <c r="A1690" s="4" t="s">
        <v>4419</v>
      </c>
      <c r="B1690" s="5" t="s">
        <v>4420</v>
      </c>
      <c r="C1690" s="5" t="s">
        <v>26</v>
      </c>
      <c r="D1690" s="5" t="s">
        <v>27</v>
      </c>
      <c r="E1690" s="5" t="s">
        <v>285</v>
      </c>
      <c r="F1690" s="9">
        <v>5</v>
      </c>
      <c r="G1690" s="9">
        <v>46</v>
      </c>
      <c r="H1690" s="5" t="s">
        <v>21</v>
      </c>
      <c r="I1690" s="5" t="s">
        <v>4421</v>
      </c>
      <c r="J1690" s="12" t="str">
        <f>HYPERLINK("https://www.boe.es/gazeta/dias/1803/01/18/pdfs/GMD-1803-5.pdf#page=10","Abrir facsímil")</f>
        <v>Abrir facsímil</v>
      </c>
      <c r="K1690" s="15" t="s">
        <v>23</v>
      </c>
    </row>
    <row r="1691" spans="1:11" ht="42" customHeight="1">
      <c r="A1691" s="4" t="s">
        <v>4422</v>
      </c>
      <c r="B1691" s="5" t="s">
        <v>4422</v>
      </c>
      <c r="C1691" s="5" t="s">
        <v>51</v>
      </c>
      <c r="D1691" s="5" t="s">
        <v>52</v>
      </c>
      <c r="E1691" s="5" t="s">
        <v>174</v>
      </c>
      <c r="F1691" s="9">
        <v>21</v>
      </c>
      <c r="G1691" s="9">
        <v>220</v>
      </c>
      <c r="H1691" s="5" t="s">
        <v>21</v>
      </c>
      <c r="I1691" s="5" t="s">
        <v>4423</v>
      </c>
      <c r="J1691" s="12" t="str">
        <f>HYPERLINK("https://www.boe.es/gazeta/dias/1803/03/15/pdfs/GMD-1803-21.pdf#page=4","Abrir facsímil")</f>
        <v>Abrir facsímil</v>
      </c>
      <c r="K1691" s="15" t="s">
        <v>23</v>
      </c>
    </row>
    <row r="1692" spans="1:11" ht="42" customHeight="1">
      <c r="A1692" s="4" t="s">
        <v>4424</v>
      </c>
      <c r="B1692" s="5" t="s">
        <v>4424</v>
      </c>
      <c r="C1692" s="5" t="s">
        <v>26</v>
      </c>
      <c r="D1692" s="5" t="s">
        <v>27</v>
      </c>
      <c r="E1692" s="5" t="s">
        <v>317</v>
      </c>
      <c r="F1692" s="9">
        <v>12</v>
      </c>
      <c r="G1692" s="9">
        <v>122</v>
      </c>
      <c r="H1692" s="5" t="s">
        <v>21</v>
      </c>
      <c r="I1692" s="5" t="s">
        <v>4425</v>
      </c>
      <c r="J1692" s="12" t="str">
        <f>HYPERLINK("https://www.boe.es/gazeta/dias/1803/02/11/pdfs/GMD-1803-12.pdf#page=10","Abrir facsímil")</f>
        <v>Abrir facsímil</v>
      </c>
      <c r="K1692" s="15" t="s">
        <v>23</v>
      </c>
    </row>
    <row r="1693" spans="1:11" ht="42" customHeight="1">
      <c r="A1693" s="4" t="s">
        <v>4426</v>
      </c>
      <c r="B1693" s="5" t="s">
        <v>4426</v>
      </c>
      <c r="C1693" s="5" t="s">
        <v>51</v>
      </c>
      <c r="D1693" s="5" t="s">
        <v>52</v>
      </c>
      <c r="E1693" s="5" t="s">
        <v>509</v>
      </c>
      <c r="F1693" s="9">
        <v>6</v>
      </c>
      <c r="G1693" s="9">
        <v>51</v>
      </c>
      <c r="H1693" s="5" t="s">
        <v>21</v>
      </c>
      <c r="I1693" s="5" t="s">
        <v>4427</v>
      </c>
      <c r="J1693" s="12" t="str">
        <f>HYPERLINK("https://www.boe.es/gazeta/dias/1803/01/21/pdfs/GMD-1803-6.pdf#page=3","Abrir facsímil")</f>
        <v>Abrir facsímil</v>
      </c>
      <c r="K1693" s="15" t="s">
        <v>23</v>
      </c>
    </row>
    <row r="1694" spans="1:11" ht="42" customHeight="1">
      <c r="A1694" s="4" t="s">
        <v>4428</v>
      </c>
      <c r="B1694" s="5" t="s">
        <v>4428</v>
      </c>
      <c r="C1694" s="5" t="s">
        <v>26</v>
      </c>
      <c r="D1694" s="5" t="s">
        <v>27</v>
      </c>
      <c r="E1694" s="5" t="s">
        <v>784</v>
      </c>
      <c r="F1694" s="9">
        <v>86</v>
      </c>
      <c r="G1694" s="9">
        <v>929</v>
      </c>
      <c r="H1694" s="5" t="s">
        <v>21</v>
      </c>
      <c r="I1694" s="5" t="s">
        <v>4429</v>
      </c>
      <c r="J1694" s="12" t="str">
        <f>HYPERLINK("https://www.boe.es/gazeta/dias/1803/10/25/pdfs/GMD-1803-86.pdf#page=9","Abrir facsímil")</f>
        <v>Abrir facsímil</v>
      </c>
      <c r="K1694" s="15" t="s">
        <v>23</v>
      </c>
    </row>
    <row r="1695" spans="1:11" ht="42" customHeight="1">
      <c r="A1695" s="4" t="s">
        <v>4430</v>
      </c>
      <c r="B1695" s="5" t="s">
        <v>4431</v>
      </c>
      <c r="C1695" s="5" t="s">
        <v>26</v>
      </c>
      <c r="D1695" s="5" t="s">
        <v>27</v>
      </c>
      <c r="E1695" s="5" t="s">
        <v>231</v>
      </c>
      <c r="F1695" s="9">
        <v>26</v>
      </c>
      <c r="G1695" s="9">
        <v>282</v>
      </c>
      <c r="H1695" s="5" t="s">
        <v>21</v>
      </c>
      <c r="I1695" s="5" t="s">
        <v>4432</v>
      </c>
      <c r="J1695" s="12" t="str">
        <f>HYPERLINK("https://www.boe.es/gazeta/dias/1803/04/01/pdfs/GMD-1803-26.pdf#page=10","Abrir facsímil")</f>
        <v>Abrir facsímil</v>
      </c>
      <c r="K1695" s="15" t="s">
        <v>23</v>
      </c>
    </row>
    <row r="1696" spans="1:11" ht="42" customHeight="1">
      <c r="A1696" s="4" t="s">
        <v>4433</v>
      </c>
      <c r="B1696" s="5" t="s">
        <v>4434</v>
      </c>
      <c r="C1696" s="5" t="s">
        <v>40</v>
      </c>
      <c r="D1696" s="5" t="s">
        <v>41</v>
      </c>
      <c r="E1696" s="5" t="s">
        <v>199</v>
      </c>
      <c r="F1696" s="9">
        <v>88</v>
      </c>
      <c r="G1696" s="9">
        <v>942</v>
      </c>
      <c r="H1696" s="5" t="s">
        <v>21</v>
      </c>
      <c r="I1696" s="5" t="s">
        <v>4435</v>
      </c>
      <c r="J1696" s="12" t="str">
        <f>HYPERLINK("https://www.boe.es/gazeta/dias/1803/11/01/pdfs/GMD-1803-88.pdf#page=2","Abrir facsímil")</f>
        <v>Abrir facsímil</v>
      </c>
      <c r="K1696" s="15" t="s">
        <v>23</v>
      </c>
    </row>
    <row r="1697" spans="1:11" ht="42" customHeight="1">
      <c r="A1697" s="4" t="s">
        <v>4436</v>
      </c>
      <c r="B1697" s="5" t="s">
        <v>4437</v>
      </c>
      <c r="C1697" s="5" t="s">
        <v>26</v>
      </c>
      <c r="D1697" s="5" t="s">
        <v>27</v>
      </c>
      <c r="E1697" s="5" t="s">
        <v>630</v>
      </c>
      <c r="F1697" s="9">
        <v>85</v>
      </c>
      <c r="G1697" s="9">
        <v>917</v>
      </c>
      <c r="H1697" s="5" t="s">
        <v>21</v>
      </c>
      <c r="I1697" s="5" t="s">
        <v>4438</v>
      </c>
      <c r="J1697" s="12" t="str">
        <f>HYPERLINK("https://www.boe.es/gazeta/dias/1803/10/21/pdfs/GMD-1803-85.pdf#page=9","Abrir facsímil")</f>
        <v>Abrir facsímil</v>
      </c>
      <c r="K1697" s="15" t="s">
        <v>23</v>
      </c>
    </row>
    <row r="1698" spans="1:11" ht="42" customHeight="1">
      <c r="A1698" s="4" t="s">
        <v>4439</v>
      </c>
      <c r="B1698" s="5" t="s">
        <v>4439</v>
      </c>
      <c r="C1698" s="5" t="s">
        <v>26</v>
      </c>
      <c r="D1698" s="5" t="s">
        <v>27</v>
      </c>
      <c r="E1698" s="5" t="s">
        <v>99</v>
      </c>
      <c r="F1698" s="9">
        <v>29</v>
      </c>
      <c r="G1698" s="9">
        <v>306</v>
      </c>
      <c r="H1698" s="5" t="s">
        <v>21</v>
      </c>
      <c r="I1698" s="5" t="s">
        <v>4440</v>
      </c>
      <c r="J1698" s="12" t="str">
        <f>HYPERLINK("https://www.boe.es/gazeta/dias/1803/04/12/pdfs/GMD-1803-29.pdf#page=2","Abrir facsímil")</f>
        <v>Abrir facsímil</v>
      </c>
      <c r="K1698" s="15" t="s">
        <v>23</v>
      </c>
    </row>
    <row r="1699" spans="1:11" ht="42" customHeight="1">
      <c r="A1699" s="4" t="s">
        <v>4439</v>
      </c>
      <c r="B1699" s="5" t="s">
        <v>4439</v>
      </c>
      <c r="C1699" s="5" t="s">
        <v>40</v>
      </c>
      <c r="D1699" s="5" t="s">
        <v>41</v>
      </c>
      <c r="E1699" s="5" t="s">
        <v>619</v>
      </c>
      <c r="F1699" s="9">
        <v>53</v>
      </c>
      <c r="G1699" s="9">
        <v>571</v>
      </c>
      <c r="H1699" s="5" t="s">
        <v>21</v>
      </c>
      <c r="I1699" s="5" t="s">
        <v>4441</v>
      </c>
      <c r="J1699" s="12" t="str">
        <f>HYPERLINK("https://www.boe.es/gazeta/dias/1803/07/05/pdfs/GMD-1803-53.pdf#page=3","Abrir facsímil")</f>
        <v>Abrir facsímil</v>
      </c>
      <c r="K1699" s="15" t="s">
        <v>23</v>
      </c>
    </row>
    <row r="1700" spans="1:11" ht="42" customHeight="1">
      <c r="A1700" s="4" t="s">
        <v>4439</v>
      </c>
      <c r="B1700" s="5" t="s">
        <v>4439</v>
      </c>
      <c r="C1700" s="5" t="s">
        <v>26</v>
      </c>
      <c r="D1700" s="5" t="s">
        <v>27</v>
      </c>
      <c r="E1700" s="5" t="s">
        <v>128</v>
      </c>
      <c r="F1700" s="9">
        <v>80</v>
      </c>
      <c r="G1700" s="9">
        <v>859</v>
      </c>
      <c r="H1700" s="5" t="s">
        <v>21</v>
      </c>
      <c r="I1700" s="5" t="s">
        <v>4442</v>
      </c>
      <c r="J1700" s="12" t="str">
        <f>HYPERLINK("https://www.boe.es/gazeta/dias/1803/10/04/pdfs/GMD-1803-80.pdf#page=3","Abrir facsímil")</f>
        <v>Abrir facsímil</v>
      </c>
      <c r="K1700" s="15" t="s">
        <v>23</v>
      </c>
    </row>
    <row r="1701" spans="1:11" ht="42" customHeight="1">
      <c r="A1701" s="4" t="s">
        <v>4443</v>
      </c>
      <c r="B1701" s="5" t="s">
        <v>4444</v>
      </c>
      <c r="C1701" s="5" t="s">
        <v>26</v>
      </c>
      <c r="D1701" s="5" t="s">
        <v>27</v>
      </c>
      <c r="E1701" s="5" t="s">
        <v>519</v>
      </c>
      <c r="F1701" s="9">
        <v>50</v>
      </c>
      <c r="G1701" s="9">
        <v>541</v>
      </c>
      <c r="H1701" s="5" t="s">
        <v>21</v>
      </c>
      <c r="I1701" s="5" t="s">
        <v>4445</v>
      </c>
      <c r="J1701" s="12" t="str">
        <f>HYPERLINK("https://www.boe.es/gazeta/dias/1803/06/24/pdfs/GMD-1803-50.pdf#page=9","Abrir facsímil")</f>
        <v>Abrir facsímil</v>
      </c>
      <c r="K1701" s="15" t="s">
        <v>23</v>
      </c>
    </row>
    <row r="1702" spans="1:11" ht="42" customHeight="1">
      <c r="A1702" s="4" t="s">
        <v>4446</v>
      </c>
      <c r="B1702" s="5" t="s">
        <v>4447</v>
      </c>
      <c r="C1702" s="5" t="s">
        <v>26</v>
      </c>
      <c r="D1702" s="5" t="s">
        <v>27</v>
      </c>
      <c r="E1702" s="5" t="s">
        <v>630</v>
      </c>
      <c r="F1702" s="9">
        <v>85</v>
      </c>
      <c r="G1702" s="9">
        <v>917</v>
      </c>
      <c r="H1702" s="5" t="s">
        <v>21</v>
      </c>
      <c r="I1702" s="5" t="s">
        <v>4448</v>
      </c>
      <c r="J1702" s="12" t="str">
        <f>HYPERLINK("https://www.boe.es/gazeta/dias/1803/10/21/pdfs/GMD-1803-85.pdf#page=9","Abrir facsímil")</f>
        <v>Abrir facsímil</v>
      </c>
      <c r="K1702" s="15" t="s">
        <v>23</v>
      </c>
    </row>
    <row r="1703" spans="1:11" ht="42" customHeight="1">
      <c r="A1703" s="4" t="s">
        <v>4449</v>
      </c>
      <c r="B1703" s="5" t="s">
        <v>4450</v>
      </c>
      <c r="C1703" s="5" t="s">
        <v>80</v>
      </c>
      <c r="D1703" s="5" t="s">
        <v>81</v>
      </c>
      <c r="E1703" s="5" t="s">
        <v>373</v>
      </c>
      <c r="F1703" s="9">
        <v>77</v>
      </c>
      <c r="G1703" s="9">
        <v>836</v>
      </c>
      <c r="H1703" s="5" t="s">
        <v>21</v>
      </c>
      <c r="I1703" s="5" t="s">
        <v>4451</v>
      </c>
      <c r="J1703" s="12" t="str">
        <f>HYPERLINK("https://www.boe.es/gazeta/dias/1803/09/23/pdfs/GMD-1803-77.pdf#page=12","Abrir facsímil")</f>
        <v>Abrir facsímil</v>
      </c>
      <c r="K1703" s="15" t="s">
        <v>23</v>
      </c>
    </row>
    <row r="1704" spans="1:11" ht="42" customHeight="1">
      <c r="A1704" s="4" t="s">
        <v>4452</v>
      </c>
      <c r="B1704" s="5" t="s">
        <v>4453</v>
      </c>
      <c r="C1704" s="5" t="s">
        <v>26</v>
      </c>
      <c r="D1704" s="5" t="s">
        <v>27</v>
      </c>
      <c r="E1704" s="5" t="s">
        <v>555</v>
      </c>
      <c r="F1704" s="9">
        <v>83</v>
      </c>
      <c r="G1704" s="9">
        <v>894</v>
      </c>
      <c r="H1704" s="5" t="s">
        <v>21</v>
      </c>
      <c r="I1704" s="5" t="s">
        <v>4454</v>
      </c>
      <c r="J1704" s="12" t="str">
        <f>HYPERLINK("https://www.boe.es/gazeta/dias/1803/10/14/pdfs/GMD-1803-83.pdf#page=6","Abrir facsímil")</f>
        <v>Abrir facsímil</v>
      </c>
      <c r="K1704" s="15" t="s">
        <v>23</v>
      </c>
    </row>
    <row r="1705" spans="1:11" ht="42" customHeight="1">
      <c r="A1705" s="4" t="s">
        <v>4455</v>
      </c>
      <c r="B1705" s="5" t="s">
        <v>4456</v>
      </c>
      <c r="C1705" s="5" t="s">
        <v>26</v>
      </c>
      <c r="D1705" s="5" t="s">
        <v>27</v>
      </c>
      <c r="E1705" s="5" t="s">
        <v>285</v>
      </c>
      <c r="F1705" s="9">
        <v>5</v>
      </c>
      <c r="G1705" s="9">
        <v>46</v>
      </c>
      <c r="H1705" s="5" t="s">
        <v>21</v>
      </c>
      <c r="I1705" s="5" t="s">
        <v>4457</v>
      </c>
      <c r="J1705" s="12" t="str">
        <f>HYPERLINK("https://www.boe.es/gazeta/dias/1803/01/18/pdfs/GMD-1803-5.pdf#page=10","Abrir facsímil")</f>
        <v>Abrir facsímil</v>
      </c>
      <c r="K1705" s="15" t="s">
        <v>23</v>
      </c>
    </row>
    <row r="1706" spans="1:11" ht="42" customHeight="1">
      <c r="A1706" s="4" t="s">
        <v>4458</v>
      </c>
      <c r="B1706" s="5" t="s">
        <v>4459</v>
      </c>
      <c r="C1706" s="5" t="s">
        <v>46</v>
      </c>
      <c r="D1706" s="5" t="s">
        <v>19</v>
      </c>
      <c r="E1706" s="5" t="s">
        <v>285</v>
      </c>
      <c r="F1706" s="9">
        <v>5</v>
      </c>
      <c r="G1706" s="9">
        <v>46</v>
      </c>
      <c r="H1706" s="5" t="s">
        <v>21</v>
      </c>
      <c r="I1706" s="5" t="s">
        <v>4460</v>
      </c>
      <c r="J1706" s="12" t="str">
        <f>HYPERLINK("https://www.boe.es/gazeta/dias/1803/01/18/pdfs/GMD-1803-5.pdf#page=10","Abrir facsímil")</f>
        <v>Abrir facsímil</v>
      </c>
      <c r="K1706" s="15" t="s">
        <v>23</v>
      </c>
    </row>
    <row r="1707" spans="1:11" ht="42" customHeight="1">
      <c r="A1707" s="4" t="s">
        <v>4461</v>
      </c>
      <c r="B1707" s="5" t="s">
        <v>4462</v>
      </c>
      <c r="C1707" s="5" t="s">
        <v>51</v>
      </c>
      <c r="D1707" s="5" t="s">
        <v>52</v>
      </c>
      <c r="E1707" s="5" t="s">
        <v>174</v>
      </c>
      <c r="F1707" s="9">
        <v>21</v>
      </c>
      <c r="G1707" s="9">
        <v>226</v>
      </c>
      <c r="H1707" s="5" t="s">
        <v>21</v>
      </c>
      <c r="I1707" s="5" t="s">
        <v>4463</v>
      </c>
      <c r="J1707" s="12" t="str">
        <f>HYPERLINK("https://www.boe.es/gazeta/dias/1803/03/15/pdfs/GMD-1803-21.pdf#page=10","Abrir facsímil")</f>
        <v>Abrir facsímil</v>
      </c>
      <c r="K1707" s="15" t="s">
        <v>23</v>
      </c>
    </row>
    <row r="1708" spans="1:11" ht="42" customHeight="1">
      <c r="A1708" s="4" t="s">
        <v>4464</v>
      </c>
      <c r="B1708" s="5" t="s">
        <v>4465</v>
      </c>
      <c r="C1708" s="5" t="s">
        <v>26</v>
      </c>
      <c r="D1708" s="5" t="s">
        <v>27</v>
      </c>
      <c r="E1708" s="5" t="s">
        <v>630</v>
      </c>
      <c r="F1708" s="9">
        <v>85</v>
      </c>
      <c r="G1708" s="9">
        <v>917</v>
      </c>
      <c r="H1708" s="5" t="s">
        <v>21</v>
      </c>
      <c r="I1708" s="5" t="s">
        <v>4466</v>
      </c>
      <c r="J1708" s="12" t="str">
        <f>HYPERLINK("https://www.boe.es/gazeta/dias/1803/10/21/pdfs/GMD-1803-85.pdf#page=9","Abrir facsímil")</f>
        <v>Abrir facsímil</v>
      </c>
      <c r="K1708" s="15" t="s">
        <v>23</v>
      </c>
    </row>
    <row r="1709" spans="1:11" ht="42" customHeight="1">
      <c r="A1709" s="4" t="s">
        <v>4467</v>
      </c>
      <c r="B1709" s="5" t="s">
        <v>4468</v>
      </c>
      <c r="C1709" s="5" t="s">
        <v>26</v>
      </c>
      <c r="D1709" s="5" t="s">
        <v>27</v>
      </c>
      <c r="E1709" s="5" t="s">
        <v>178</v>
      </c>
      <c r="F1709" s="9">
        <v>36</v>
      </c>
      <c r="G1709" s="9">
        <v>375</v>
      </c>
      <c r="H1709" s="5" t="s">
        <v>21</v>
      </c>
      <c r="I1709" s="5" t="s">
        <v>4469</v>
      </c>
      <c r="J1709" s="12" t="str">
        <f>HYPERLINK("https://www.boe.es/gazeta/dias/1803/05/06/pdfs/GMD-1803-36.pdf#page=7","Abrir facsímil")</f>
        <v>Abrir facsímil</v>
      </c>
      <c r="K1709" s="15" t="s">
        <v>23</v>
      </c>
    </row>
    <row r="1710" spans="1:11" ht="42" customHeight="1">
      <c r="A1710" s="4" t="s">
        <v>4470</v>
      </c>
      <c r="B1710" s="5" t="s">
        <v>4471</v>
      </c>
      <c r="C1710" s="5" t="s">
        <v>40</v>
      </c>
      <c r="D1710" s="5" t="s">
        <v>41</v>
      </c>
      <c r="E1710" s="5" t="s">
        <v>285</v>
      </c>
      <c r="F1710" s="9">
        <v>5</v>
      </c>
      <c r="G1710" s="9">
        <v>45</v>
      </c>
      <c r="H1710" s="5" t="s">
        <v>21</v>
      </c>
      <c r="I1710" s="5" t="s">
        <v>4472</v>
      </c>
      <c r="J1710" s="12" t="str">
        <f>HYPERLINK("https://www.boe.es/gazeta/dias/1803/01/18/pdfs/GMD-1803-5.pdf#page=9","Abrir facsímil")</f>
        <v>Abrir facsímil</v>
      </c>
      <c r="K1710" s="15" t="s">
        <v>23</v>
      </c>
    </row>
    <row r="1711" spans="1:11" ht="42" customHeight="1">
      <c r="A1711" s="4" t="s">
        <v>4473</v>
      </c>
      <c r="B1711" s="5" t="s">
        <v>4474</v>
      </c>
      <c r="C1711" s="5" t="s">
        <v>26</v>
      </c>
      <c r="D1711" s="5" t="s">
        <v>27</v>
      </c>
      <c r="E1711" s="5" t="s">
        <v>88</v>
      </c>
      <c r="F1711" s="9">
        <v>18</v>
      </c>
      <c r="G1711" s="9">
        <v>191</v>
      </c>
      <c r="H1711" s="5" t="s">
        <v>21</v>
      </c>
      <c r="I1711" s="5" t="s">
        <v>4475</v>
      </c>
      <c r="J1711" s="12" t="str">
        <f>HYPERLINK("https://www.boe.es/gazeta/dias/1803/03/04/pdfs/GMD-1803-18.pdf#page=11","Abrir facsímil")</f>
        <v>Abrir facsímil</v>
      </c>
      <c r="K1711" s="15" t="s">
        <v>23</v>
      </c>
    </row>
    <row r="1712" spans="1:11" ht="42" customHeight="1">
      <c r="A1712" s="4" t="s">
        <v>4473</v>
      </c>
      <c r="B1712" s="5" t="s">
        <v>4474</v>
      </c>
      <c r="C1712" s="5" t="s">
        <v>46</v>
      </c>
      <c r="D1712" s="5" t="s">
        <v>19</v>
      </c>
      <c r="E1712" s="5" t="s">
        <v>102</v>
      </c>
      <c r="F1712" s="9">
        <v>31</v>
      </c>
      <c r="G1712" s="9">
        <v>328</v>
      </c>
      <c r="H1712" s="5" t="s">
        <v>21</v>
      </c>
      <c r="I1712" s="5" t="s">
        <v>4476</v>
      </c>
      <c r="J1712" s="12" t="str">
        <f>HYPERLINK("https://www.boe.es/gazeta/dias/1803/04/19/pdfs/GMD-1803-31.pdf#page=8","Abrir facsímil")</f>
        <v>Abrir facsímil</v>
      </c>
      <c r="K1712" s="15" t="s">
        <v>23</v>
      </c>
    </row>
    <row r="1713" spans="1:11" ht="42" customHeight="1">
      <c r="A1713" s="4" t="s">
        <v>4473</v>
      </c>
      <c r="B1713" s="5" t="s">
        <v>4474</v>
      </c>
      <c r="C1713" s="5" t="s">
        <v>46</v>
      </c>
      <c r="D1713" s="5" t="s">
        <v>19</v>
      </c>
      <c r="E1713" s="5" t="s">
        <v>373</v>
      </c>
      <c r="F1713" s="9">
        <v>77</v>
      </c>
      <c r="G1713" s="9">
        <v>835</v>
      </c>
      <c r="H1713" s="5" t="s">
        <v>21</v>
      </c>
      <c r="I1713" s="5" t="s">
        <v>4477</v>
      </c>
      <c r="J1713" s="12" t="str">
        <f>HYPERLINK("https://www.boe.es/gazeta/dias/1803/09/23/pdfs/GMD-1803-77.pdf#page=11","Abrir facsímil")</f>
        <v>Abrir facsímil</v>
      </c>
      <c r="K1713" s="15" t="s">
        <v>23</v>
      </c>
    </row>
    <row r="1714" spans="1:11" ht="42" customHeight="1">
      <c r="A1714" s="4" t="s">
        <v>4478</v>
      </c>
      <c r="B1714" s="5" t="s">
        <v>4479</v>
      </c>
      <c r="C1714" s="5" t="s">
        <v>51</v>
      </c>
      <c r="D1714" s="5" t="s">
        <v>52</v>
      </c>
      <c r="E1714" s="5" t="s">
        <v>109</v>
      </c>
      <c r="F1714" s="9">
        <v>102</v>
      </c>
      <c r="G1714" s="9">
        <v>1097</v>
      </c>
      <c r="H1714" s="5" t="s">
        <v>21</v>
      </c>
      <c r="I1714" s="5" t="s">
        <v>4480</v>
      </c>
      <c r="J1714" s="12" t="str">
        <f>HYPERLINK("https://www.boe.es/gazeta/dias/1803/12/20/pdfs/GMD-1803-102.pdf#page=9","Abrir facsímil")</f>
        <v>Abrir facsímil</v>
      </c>
      <c r="K1714" s="15" t="s">
        <v>23</v>
      </c>
    </row>
    <row r="1715" spans="1:11" ht="42" customHeight="1">
      <c r="A1715" s="4" t="s">
        <v>4481</v>
      </c>
      <c r="B1715" s="5" t="s">
        <v>4481</v>
      </c>
      <c r="C1715" s="5" t="s">
        <v>51</v>
      </c>
      <c r="D1715" s="5" t="s">
        <v>52</v>
      </c>
      <c r="E1715" s="5" t="s">
        <v>752</v>
      </c>
      <c r="F1715" s="9">
        <v>30</v>
      </c>
      <c r="G1715" s="9">
        <v>320</v>
      </c>
      <c r="H1715" s="5" t="s">
        <v>21</v>
      </c>
      <c r="I1715" s="5" t="s">
        <v>4482</v>
      </c>
      <c r="J1715" s="12" t="str">
        <f>HYPERLINK("https://www.boe.es/gazeta/dias/1803/04/15/pdfs/GMD-1803-30.pdf#page=8","Abrir facsímil")</f>
        <v>Abrir facsímil</v>
      </c>
      <c r="K1715" s="15" t="s">
        <v>23</v>
      </c>
    </row>
    <row r="1716" spans="1:11" ht="42" customHeight="1">
      <c r="A1716" s="4" t="s">
        <v>4483</v>
      </c>
      <c r="B1716" s="5" t="s">
        <v>4484</v>
      </c>
      <c r="C1716" s="5" t="s">
        <v>46</v>
      </c>
      <c r="D1716" s="5" t="s">
        <v>19</v>
      </c>
      <c r="E1716" s="5" t="s">
        <v>53</v>
      </c>
      <c r="F1716" s="9">
        <v>99</v>
      </c>
      <c r="G1716" s="9">
        <v>1062</v>
      </c>
      <c r="H1716" s="5" t="s">
        <v>21</v>
      </c>
      <c r="I1716" s="5" t="s">
        <v>4485</v>
      </c>
      <c r="J1716" s="12" t="str">
        <f>HYPERLINK("https://www.boe.es/gazeta/dias/1803/12/09/pdfs/GMD-1803-99.pdf#page=10","Abrir facsímil")</f>
        <v>Abrir facsímil</v>
      </c>
      <c r="K1716" s="15" t="s">
        <v>23</v>
      </c>
    </row>
    <row r="1717" spans="1:11" ht="42" customHeight="1">
      <c r="A1717" s="4" t="s">
        <v>4486</v>
      </c>
      <c r="B1717" s="5" t="s">
        <v>4487</v>
      </c>
      <c r="C1717" s="5" t="s">
        <v>26</v>
      </c>
      <c r="D1717" s="5" t="s">
        <v>27</v>
      </c>
      <c r="E1717" s="5" t="s">
        <v>278</v>
      </c>
      <c r="F1717" s="9">
        <v>46</v>
      </c>
      <c r="G1717" s="9">
        <v>486</v>
      </c>
      <c r="H1717" s="5" t="s">
        <v>21</v>
      </c>
      <c r="I1717" s="5" t="s">
        <v>4488</v>
      </c>
      <c r="J1717" s="12" t="str">
        <f>HYPERLINK("https://www.boe.es/gazeta/dias/1803/06/10/pdfs/GMD-1803-46.pdf#page=10","Abrir facsímil")</f>
        <v>Abrir facsímil</v>
      </c>
      <c r="K1717" s="15" t="s">
        <v>23</v>
      </c>
    </row>
    <row r="1718" spans="1:11" ht="42" customHeight="1">
      <c r="A1718" s="4" t="s">
        <v>4489</v>
      </c>
      <c r="B1718" s="5" t="s">
        <v>4490</v>
      </c>
      <c r="C1718" s="5" t="s">
        <v>26</v>
      </c>
      <c r="D1718" s="5" t="s">
        <v>27</v>
      </c>
      <c r="E1718" s="5" t="s">
        <v>555</v>
      </c>
      <c r="F1718" s="9">
        <v>83</v>
      </c>
      <c r="G1718" s="9">
        <v>894</v>
      </c>
      <c r="H1718" s="5" t="s">
        <v>21</v>
      </c>
      <c r="I1718" s="5" t="s">
        <v>4491</v>
      </c>
      <c r="J1718" s="12" t="str">
        <f>HYPERLINK("https://www.boe.es/gazeta/dias/1803/10/14/pdfs/GMD-1803-83.pdf#page=6","Abrir facsímil")</f>
        <v>Abrir facsímil</v>
      </c>
      <c r="K1718" s="15" t="s">
        <v>23</v>
      </c>
    </row>
    <row r="1719" spans="1:11" ht="42" customHeight="1">
      <c r="A1719" s="4" t="s">
        <v>4492</v>
      </c>
      <c r="B1719" s="5" t="s">
        <v>4493</v>
      </c>
      <c r="C1719" s="5" t="s">
        <v>26</v>
      </c>
      <c r="D1719" s="5" t="s">
        <v>27</v>
      </c>
      <c r="E1719" s="5" t="s">
        <v>332</v>
      </c>
      <c r="F1719" s="9">
        <v>11</v>
      </c>
      <c r="G1719" s="9">
        <v>110</v>
      </c>
      <c r="H1719" s="5" t="s">
        <v>21</v>
      </c>
      <c r="I1719" s="5" t="s">
        <v>4494</v>
      </c>
      <c r="J1719" s="12" t="str">
        <f>HYPERLINK("https://www.boe.es/gazeta/dias/1803/02/08/pdfs/GMD-1803-11.pdf#page=6","Abrir facsímil")</f>
        <v>Abrir facsímil</v>
      </c>
      <c r="K1719" s="15" t="s">
        <v>23</v>
      </c>
    </row>
    <row r="1720" spans="1:11" ht="42" customHeight="1">
      <c r="A1720" s="4" t="s">
        <v>4495</v>
      </c>
      <c r="B1720" s="5" t="s">
        <v>4496</v>
      </c>
      <c r="C1720" s="5" t="s">
        <v>46</v>
      </c>
      <c r="D1720" s="5" t="s">
        <v>19</v>
      </c>
      <c r="E1720" s="5" t="s">
        <v>85</v>
      </c>
      <c r="F1720" s="9">
        <v>49</v>
      </c>
      <c r="G1720" s="9">
        <v>523</v>
      </c>
      <c r="H1720" s="5" t="s">
        <v>21</v>
      </c>
      <c r="I1720" s="5" t="s">
        <v>4497</v>
      </c>
      <c r="J1720" s="12" t="str">
        <f>HYPERLINK("https://www.boe.es/gazeta/dias/1803/06/21/pdfs/GMD-1803-49.pdf#page=11","Abrir facsímil")</f>
        <v>Abrir facsímil</v>
      </c>
      <c r="K1720" s="15" t="s">
        <v>23</v>
      </c>
    </row>
    <row r="1721" spans="1:11" ht="42" customHeight="1">
      <c r="A1721" s="4" t="s">
        <v>4498</v>
      </c>
      <c r="B1721" s="5" t="s">
        <v>4499</v>
      </c>
      <c r="C1721" s="5" t="s">
        <v>26</v>
      </c>
      <c r="D1721" s="5" t="s">
        <v>27</v>
      </c>
      <c r="E1721" s="5" t="s">
        <v>606</v>
      </c>
      <c r="F1721" s="9">
        <v>47</v>
      </c>
      <c r="G1721" s="9">
        <v>498</v>
      </c>
      <c r="H1721" s="5" t="s">
        <v>21</v>
      </c>
      <c r="I1721" s="5" t="s">
        <v>4500</v>
      </c>
      <c r="J1721" s="12" t="str">
        <f>HYPERLINK("https://www.boe.es/gazeta/dias/1803/06/14/pdfs/GMD-1803-47.pdf#page=10","Abrir facsímil")</f>
        <v>Abrir facsímil</v>
      </c>
      <c r="K1721" s="15" t="s">
        <v>23</v>
      </c>
    </row>
    <row r="1722" spans="1:11" ht="42" customHeight="1">
      <c r="A1722" s="4" t="s">
        <v>4501</v>
      </c>
      <c r="B1722" s="5" t="s">
        <v>4502</v>
      </c>
      <c r="C1722" s="5" t="s">
        <v>80</v>
      </c>
      <c r="D1722" s="5" t="s">
        <v>81</v>
      </c>
      <c r="E1722" s="5" t="s">
        <v>477</v>
      </c>
      <c r="F1722" s="9">
        <v>48</v>
      </c>
      <c r="G1722" s="9">
        <v>511</v>
      </c>
      <c r="H1722" s="5" t="s">
        <v>21</v>
      </c>
      <c r="I1722" s="5" t="s">
        <v>4503</v>
      </c>
      <c r="J1722" s="12" t="str">
        <f>HYPERLINK("https://www.boe.es/gazeta/dias/1803/06/17/pdfs/GMD-1803-48.pdf#page=11","Abrir facsímil")</f>
        <v>Abrir facsímil</v>
      </c>
      <c r="K1722" s="15" t="s">
        <v>23</v>
      </c>
    </row>
    <row r="1723" spans="1:11" ht="42" customHeight="1">
      <c r="A1723" s="4" t="s">
        <v>4504</v>
      </c>
      <c r="B1723" s="5" t="s">
        <v>4505</v>
      </c>
      <c r="C1723" s="5" t="s">
        <v>18</v>
      </c>
      <c r="D1723" s="5" t="s">
        <v>19</v>
      </c>
      <c r="E1723" s="5" t="s">
        <v>138</v>
      </c>
      <c r="F1723" s="9">
        <v>68</v>
      </c>
      <c r="G1723" s="9">
        <v>741</v>
      </c>
      <c r="H1723" s="5" t="s">
        <v>21</v>
      </c>
      <c r="I1723" s="5" t="s">
        <v>4506</v>
      </c>
      <c r="J1723" s="12" t="str">
        <f>HYPERLINK("https://www.boe.es/gazeta/dias/1803/08/26/pdfs/GMD-1803-68.pdf#page=9","Abrir facsímil")</f>
        <v>Abrir facsímil</v>
      </c>
      <c r="K1723" s="15" t="s">
        <v>23</v>
      </c>
    </row>
    <row r="1724" spans="1:11" ht="42" customHeight="1">
      <c r="A1724" s="4" t="s">
        <v>4507</v>
      </c>
      <c r="B1724" s="5" t="s">
        <v>4508</v>
      </c>
      <c r="C1724" s="5" t="s">
        <v>18</v>
      </c>
      <c r="D1724" s="5" t="s">
        <v>19</v>
      </c>
      <c r="E1724" s="5" t="s">
        <v>109</v>
      </c>
      <c r="F1724" s="9">
        <v>102</v>
      </c>
      <c r="G1724" s="9">
        <v>1097</v>
      </c>
      <c r="H1724" s="5" t="s">
        <v>21</v>
      </c>
      <c r="I1724" s="5" t="s">
        <v>4509</v>
      </c>
      <c r="J1724" s="12" t="str">
        <f>HYPERLINK("https://www.boe.es/gazeta/dias/1803/12/20/pdfs/GMD-1803-102.pdf#page=9","Abrir facsímil")</f>
        <v>Abrir facsímil</v>
      </c>
      <c r="K1724" s="15" t="s">
        <v>23</v>
      </c>
    </row>
    <row r="1725" spans="1:11" ht="42" customHeight="1">
      <c r="A1725" s="4" t="s">
        <v>4510</v>
      </c>
      <c r="B1725" s="5" t="s">
        <v>4511</v>
      </c>
      <c r="C1725" s="5" t="s">
        <v>51</v>
      </c>
      <c r="D1725" s="5" t="s">
        <v>52</v>
      </c>
      <c r="E1725" s="5" t="s">
        <v>509</v>
      </c>
      <c r="F1725" s="9">
        <v>6</v>
      </c>
      <c r="G1725" s="9">
        <v>56</v>
      </c>
      <c r="H1725" s="5" t="s">
        <v>21</v>
      </c>
      <c r="I1725" s="5" t="s">
        <v>4512</v>
      </c>
      <c r="J1725" s="12" t="str">
        <f>HYPERLINK("https://www.boe.es/gazeta/dias/1803/01/21/pdfs/GMD-1803-6.pdf#page=8","Abrir facsímil")</f>
        <v>Abrir facsímil</v>
      </c>
      <c r="K1725" s="15" t="s">
        <v>23</v>
      </c>
    </row>
    <row r="1726" spans="1:11" ht="42" customHeight="1">
      <c r="A1726" s="4" t="s">
        <v>4510</v>
      </c>
      <c r="B1726" s="5" t="s">
        <v>4511</v>
      </c>
      <c r="C1726" s="5" t="s">
        <v>80</v>
      </c>
      <c r="D1726" s="5" t="s">
        <v>81</v>
      </c>
      <c r="E1726" s="5" t="s">
        <v>501</v>
      </c>
      <c r="F1726" s="9">
        <v>22</v>
      </c>
      <c r="G1726" s="9">
        <v>240</v>
      </c>
      <c r="H1726" s="5" t="s">
        <v>21</v>
      </c>
      <c r="I1726" s="5" t="s">
        <v>4513</v>
      </c>
      <c r="J1726" s="12" t="str">
        <f>HYPERLINK("https://www.boe.es/gazeta/dias/1803/03/18/pdfs/GMD-1803-22.pdf#page=12","Abrir facsímil")</f>
        <v>Abrir facsímil</v>
      </c>
      <c r="K1726" s="15" t="s">
        <v>23</v>
      </c>
    </row>
    <row r="1727" spans="1:11" ht="42" customHeight="1">
      <c r="A1727" s="4" t="s">
        <v>4510</v>
      </c>
      <c r="B1727" s="5" t="s">
        <v>4511</v>
      </c>
      <c r="C1727" s="5" t="s">
        <v>80</v>
      </c>
      <c r="D1727" s="5" t="s">
        <v>81</v>
      </c>
      <c r="E1727" s="5" t="s">
        <v>389</v>
      </c>
      <c r="F1727" s="9">
        <v>41</v>
      </c>
      <c r="G1727" s="9">
        <v>432</v>
      </c>
      <c r="H1727" s="5" t="s">
        <v>21</v>
      </c>
      <c r="I1727" s="5" t="s">
        <v>4514</v>
      </c>
      <c r="J1727" s="12" t="str">
        <f>HYPERLINK("https://www.boe.es/gazeta/dias/1803/05/24/pdfs/GMD-1803-41.pdf#page=8","Abrir facsímil")</f>
        <v>Abrir facsímil</v>
      </c>
      <c r="K1727" s="15" t="s">
        <v>23</v>
      </c>
    </row>
    <row r="1728" spans="1:11" ht="42" customHeight="1">
      <c r="A1728" s="4" t="s">
        <v>4510</v>
      </c>
      <c r="B1728" s="5" t="s">
        <v>4511</v>
      </c>
      <c r="C1728" s="5" t="s">
        <v>51</v>
      </c>
      <c r="D1728" s="5" t="s">
        <v>52</v>
      </c>
      <c r="E1728" s="5" t="s">
        <v>117</v>
      </c>
      <c r="F1728" s="9">
        <v>59</v>
      </c>
      <c r="G1728" s="9">
        <v>648</v>
      </c>
      <c r="H1728" s="5" t="s">
        <v>21</v>
      </c>
      <c r="I1728" s="5" t="s">
        <v>4515</v>
      </c>
      <c r="J1728" s="12" t="str">
        <f>HYPERLINK("https://www.boe.es/gazeta/dias/1803/07/26/pdfs/GMD-1803-59.pdf#page=8","Abrir facsímil")</f>
        <v>Abrir facsímil</v>
      </c>
      <c r="K1728" s="15" t="s">
        <v>23</v>
      </c>
    </row>
    <row r="1729" spans="1:11" ht="42" customHeight="1">
      <c r="A1729" s="4" t="s">
        <v>4510</v>
      </c>
      <c r="B1729" s="5" t="s">
        <v>4511</v>
      </c>
      <c r="C1729" s="5" t="s">
        <v>80</v>
      </c>
      <c r="D1729" s="5" t="s">
        <v>81</v>
      </c>
      <c r="E1729" s="5" t="s">
        <v>369</v>
      </c>
      <c r="F1729" s="9">
        <v>100</v>
      </c>
      <c r="G1729" s="9">
        <v>1075</v>
      </c>
      <c r="H1729" s="5" t="s">
        <v>21</v>
      </c>
      <c r="I1729" s="5" t="s">
        <v>4516</v>
      </c>
      <c r="J1729" s="12" t="str">
        <f>HYPERLINK("https://www.boe.es/gazeta/dias/1803/12/13/pdfs/GMD-1803-100.pdf#page=11","Abrir facsímil")</f>
        <v>Abrir facsímil</v>
      </c>
      <c r="K1729" s="15" t="s">
        <v>23</v>
      </c>
    </row>
    <row r="1730" spans="1:11" ht="42" customHeight="1">
      <c r="A1730" s="4" t="s">
        <v>4510</v>
      </c>
      <c r="B1730" s="5" t="s">
        <v>4511</v>
      </c>
      <c r="C1730" s="5" t="s">
        <v>80</v>
      </c>
      <c r="D1730" s="5" t="s">
        <v>81</v>
      </c>
      <c r="E1730" s="5" t="s">
        <v>109</v>
      </c>
      <c r="F1730" s="9">
        <v>102</v>
      </c>
      <c r="G1730" s="9">
        <v>1100</v>
      </c>
      <c r="H1730" s="5" t="s">
        <v>21</v>
      </c>
      <c r="I1730" s="5" t="s">
        <v>4517</v>
      </c>
      <c r="J1730" s="12" t="str">
        <f>HYPERLINK("https://www.boe.es/gazeta/dias/1803/12/20/pdfs/GMD-1803-102.pdf#page=12","Abrir facsímil")</f>
        <v>Abrir facsímil</v>
      </c>
      <c r="K1730" s="15" t="s">
        <v>23</v>
      </c>
    </row>
    <row r="1731" spans="1:11" ht="42" customHeight="1">
      <c r="A1731" s="4" t="s">
        <v>4518</v>
      </c>
      <c r="B1731" s="5" t="s">
        <v>4518</v>
      </c>
      <c r="C1731" s="5" t="s">
        <v>51</v>
      </c>
      <c r="D1731" s="5" t="s">
        <v>52</v>
      </c>
      <c r="E1731" s="5" t="s">
        <v>373</v>
      </c>
      <c r="F1731" s="9">
        <v>77</v>
      </c>
      <c r="G1731" s="9">
        <v>833</v>
      </c>
      <c r="H1731" s="5" t="s">
        <v>21</v>
      </c>
      <c r="I1731" s="5" t="s">
        <v>4519</v>
      </c>
      <c r="J1731" s="12" t="str">
        <f>HYPERLINK("https://www.boe.es/gazeta/dias/1803/09/23/pdfs/GMD-1803-77.pdf#page=9","Abrir facsímil")</f>
        <v>Abrir facsímil</v>
      </c>
      <c r="K1731" s="15" t="s">
        <v>23</v>
      </c>
    </row>
    <row r="1732" spans="1:11" ht="42" customHeight="1">
      <c r="A1732" s="4" t="s">
        <v>4520</v>
      </c>
      <c r="B1732" s="5" t="s">
        <v>4521</v>
      </c>
      <c r="C1732" s="5" t="s">
        <v>80</v>
      </c>
      <c r="D1732" s="5" t="s">
        <v>81</v>
      </c>
      <c r="E1732" s="5" t="s">
        <v>128</v>
      </c>
      <c r="F1732" s="9">
        <v>80</v>
      </c>
      <c r="G1732" s="9">
        <v>864</v>
      </c>
      <c r="H1732" s="5" t="s">
        <v>21</v>
      </c>
      <c r="I1732" s="5" t="s">
        <v>4522</v>
      </c>
      <c r="J1732" s="12" t="str">
        <f>HYPERLINK("https://www.boe.es/gazeta/dias/1803/10/04/pdfs/GMD-1803-80.pdf#page=8","Abrir facsímil")</f>
        <v>Abrir facsímil</v>
      </c>
      <c r="K1732" s="15" t="s">
        <v>23</v>
      </c>
    </row>
    <row r="1733" spans="1:11" ht="42" customHeight="1">
      <c r="A1733" s="4" t="s">
        <v>4523</v>
      </c>
      <c r="B1733" s="5" t="s">
        <v>4523</v>
      </c>
      <c r="C1733" s="5" t="s">
        <v>18</v>
      </c>
      <c r="D1733" s="5" t="s">
        <v>19</v>
      </c>
      <c r="E1733" s="5" t="s">
        <v>361</v>
      </c>
      <c r="F1733" s="9">
        <v>62</v>
      </c>
      <c r="G1733" s="9">
        <v>675</v>
      </c>
      <c r="H1733" s="5" t="s">
        <v>21</v>
      </c>
      <c r="I1733" s="5" t="s">
        <v>4524</v>
      </c>
      <c r="J1733" s="12" t="str">
        <f>HYPERLINK("https://www.boe.es/gazeta/dias/1803/08/05/pdfs/GMD-1803-62.pdf#page=7","Abrir facsímil")</f>
        <v>Abrir facsímil</v>
      </c>
      <c r="K1733" s="15" t="s">
        <v>23</v>
      </c>
    </row>
    <row r="1734" spans="1:11" ht="42" customHeight="1">
      <c r="A1734" s="4" t="s">
        <v>4525</v>
      </c>
      <c r="B1734" s="5" t="s">
        <v>4526</v>
      </c>
      <c r="C1734" s="5" t="s">
        <v>18</v>
      </c>
      <c r="D1734" s="5" t="s">
        <v>19</v>
      </c>
      <c r="E1734" s="5" t="s">
        <v>399</v>
      </c>
      <c r="F1734" s="9">
        <v>95</v>
      </c>
      <c r="G1734" s="9">
        <v>1017</v>
      </c>
      <c r="H1734" s="5" t="s">
        <v>21</v>
      </c>
      <c r="I1734" s="5" t="s">
        <v>4527</v>
      </c>
      <c r="J1734" s="12" t="str">
        <f>HYPERLINK("https://www.boe.es/gazeta/dias/1803/11/25/pdfs/GMD-1803-95.pdf#page=5","Abrir facsímil")</f>
        <v>Abrir facsímil</v>
      </c>
      <c r="K1734" s="15" t="s">
        <v>23</v>
      </c>
    </row>
    <row r="1735" spans="1:11" ht="42" customHeight="1">
      <c r="A1735" s="4" t="s">
        <v>4528</v>
      </c>
      <c r="B1735" s="5" t="s">
        <v>4529</v>
      </c>
      <c r="C1735" s="5" t="s">
        <v>51</v>
      </c>
      <c r="D1735" s="5" t="s">
        <v>52</v>
      </c>
      <c r="E1735" s="5" t="s">
        <v>156</v>
      </c>
      <c r="F1735" s="9">
        <v>2</v>
      </c>
      <c r="G1735" s="9">
        <v>10</v>
      </c>
      <c r="H1735" s="5" t="s">
        <v>21</v>
      </c>
      <c r="I1735" s="5" t="s">
        <v>4530</v>
      </c>
      <c r="J1735" s="12" t="str">
        <f>HYPERLINK("https://www.boe.es/gazeta/dias/1803/01/07/pdfs/GMD-1803-2.pdf#page=2","Abrir facsímil")</f>
        <v>Abrir facsímil</v>
      </c>
      <c r="K1735" s="15" t="s">
        <v>23</v>
      </c>
    </row>
    <row r="1736" spans="1:11" ht="42" customHeight="1">
      <c r="A1736" s="4" t="s">
        <v>4531</v>
      </c>
      <c r="B1736" s="5" t="s">
        <v>4532</v>
      </c>
      <c r="C1736" s="5" t="s">
        <v>26</v>
      </c>
      <c r="D1736" s="5" t="s">
        <v>27</v>
      </c>
      <c r="E1736" s="5" t="s">
        <v>57</v>
      </c>
      <c r="F1736" s="9">
        <v>51</v>
      </c>
      <c r="G1736" s="9">
        <v>555</v>
      </c>
      <c r="H1736" s="5" t="s">
        <v>21</v>
      </c>
      <c r="I1736" s="5" t="s">
        <v>4533</v>
      </c>
      <c r="J1736" s="12" t="str">
        <f>HYPERLINK("https://www.boe.es/gazeta/dias/1803/06/28/pdfs/GMD-1803-51.pdf#page=11","Abrir facsímil")</f>
        <v>Abrir facsímil</v>
      </c>
      <c r="K1736" s="15" t="s">
        <v>23</v>
      </c>
    </row>
    <row r="1737" spans="1:11" ht="42" customHeight="1">
      <c r="A1737" s="4" t="s">
        <v>4534</v>
      </c>
      <c r="B1737" s="5" t="s">
        <v>4535</v>
      </c>
      <c r="C1737" s="5" t="s">
        <v>51</v>
      </c>
      <c r="D1737" s="5" t="s">
        <v>52</v>
      </c>
      <c r="E1737" s="5" t="s">
        <v>61</v>
      </c>
      <c r="F1737" s="9">
        <v>67</v>
      </c>
      <c r="G1737" s="9">
        <v>729</v>
      </c>
      <c r="H1737" s="5" t="s">
        <v>21</v>
      </c>
      <c r="I1737" s="5" t="s">
        <v>4536</v>
      </c>
      <c r="J1737" s="12" t="str">
        <f>HYPERLINK("https://www.boe.es/gazeta/dias/1803/08/23/pdfs/GMD-1803-67.pdf#page=9","Abrir facsímil")</f>
        <v>Abrir facsímil</v>
      </c>
      <c r="K1737" s="15" t="s">
        <v>23</v>
      </c>
    </row>
    <row r="1738" spans="1:11" ht="42" customHeight="1">
      <c r="A1738" s="4" t="s">
        <v>4537</v>
      </c>
      <c r="B1738" s="5" t="s">
        <v>4538</v>
      </c>
      <c r="C1738" s="5" t="s">
        <v>40</v>
      </c>
      <c r="D1738" s="5" t="s">
        <v>41</v>
      </c>
      <c r="E1738" s="5" t="s">
        <v>113</v>
      </c>
      <c r="F1738" s="9">
        <v>93</v>
      </c>
      <c r="G1738" s="9">
        <v>994</v>
      </c>
      <c r="H1738" s="5" t="s">
        <v>21</v>
      </c>
      <c r="I1738" s="5" t="s">
        <v>4539</v>
      </c>
      <c r="J1738" s="12" t="str">
        <f>HYPERLINK("https://www.boe.es/gazeta/dias/1803/11/18/pdfs/GMD-1803-93.pdf#page=6","Abrir facsímil")</f>
        <v>Abrir facsímil</v>
      </c>
      <c r="K1738" s="15" t="s">
        <v>23</v>
      </c>
    </row>
    <row r="1739" spans="1:11" ht="42" customHeight="1">
      <c r="A1739" s="4" t="s">
        <v>4540</v>
      </c>
      <c r="B1739" s="5" t="s">
        <v>4541</v>
      </c>
      <c r="C1739" s="5" t="s">
        <v>26</v>
      </c>
      <c r="D1739" s="5" t="s">
        <v>27</v>
      </c>
      <c r="E1739" s="5" t="s">
        <v>258</v>
      </c>
      <c r="F1739" s="9">
        <v>7</v>
      </c>
      <c r="G1739" s="9">
        <v>61</v>
      </c>
      <c r="H1739" s="5" t="s">
        <v>21</v>
      </c>
      <c r="I1739" s="5" t="s">
        <v>4542</v>
      </c>
      <c r="J1739" s="12" t="str">
        <f>HYPERLINK("https://www.boe.es/gazeta/dias/1803/01/25/pdfs/GMD-1803-7.pdf#page=1","Abrir facsímil")</f>
        <v>Abrir facsímil</v>
      </c>
      <c r="K1739" s="15" t="s">
        <v>23</v>
      </c>
    </row>
    <row r="1740" spans="1:11" ht="42" customHeight="1">
      <c r="A1740" s="4" t="s">
        <v>4543</v>
      </c>
      <c r="B1740" s="5" t="s">
        <v>4543</v>
      </c>
      <c r="C1740" s="5" t="s">
        <v>18</v>
      </c>
      <c r="D1740" s="5" t="s">
        <v>19</v>
      </c>
      <c r="E1740" s="5" t="s">
        <v>361</v>
      </c>
      <c r="F1740" s="9">
        <v>62</v>
      </c>
      <c r="G1740" s="9">
        <v>675</v>
      </c>
      <c r="H1740" s="5" t="s">
        <v>21</v>
      </c>
      <c r="I1740" s="5" t="s">
        <v>4544</v>
      </c>
      <c r="J1740" s="12" t="str">
        <f>HYPERLINK("https://www.boe.es/gazeta/dias/1803/08/05/pdfs/GMD-1803-62.pdf#page=7","Abrir facsímil")</f>
        <v>Abrir facsímil</v>
      </c>
      <c r="K1740" s="15" t="s">
        <v>23</v>
      </c>
    </row>
    <row r="1741" spans="1:11" ht="42" customHeight="1">
      <c r="A1741" s="4" t="s">
        <v>4545</v>
      </c>
      <c r="B1741" s="5" t="s">
        <v>4545</v>
      </c>
      <c r="C1741" s="5" t="s">
        <v>51</v>
      </c>
      <c r="D1741" s="5" t="s">
        <v>52</v>
      </c>
      <c r="E1741" s="5" t="s">
        <v>218</v>
      </c>
      <c r="F1741" s="9">
        <v>19</v>
      </c>
      <c r="G1741" s="9">
        <v>203</v>
      </c>
      <c r="H1741" s="5" t="s">
        <v>21</v>
      </c>
      <c r="I1741" s="5" t="s">
        <v>4546</v>
      </c>
      <c r="J1741" s="12" t="str">
        <f>HYPERLINK("https://www.boe.es/gazeta/dias/1803/03/08/pdfs/GMD-1803-19.pdf#page=11","Abrir facsímil")</f>
        <v>Abrir facsímil</v>
      </c>
      <c r="K1741" s="15" t="s">
        <v>23</v>
      </c>
    </row>
    <row r="1742" spans="1:11" ht="42" customHeight="1">
      <c r="A1742" s="4" t="s">
        <v>4547</v>
      </c>
      <c r="B1742" s="5" t="s">
        <v>4548</v>
      </c>
      <c r="C1742" s="5" t="s">
        <v>26</v>
      </c>
      <c r="D1742" s="5" t="s">
        <v>27</v>
      </c>
      <c r="E1742" s="5" t="s">
        <v>609</v>
      </c>
      <c r="F1742" s="9">
        <v>57</v>
      </c>
      <c r="G1742" s="9">
        <v>619</v>
      </c>
      <c r="H1742" s="5" t="s">
        <v>21</v>
      </c>
      <c r="I1742" s="5" t="s">
        <v>4549</v>
      </c>
      <c r="J1742" s="12" t="str">
        <f>HYPERLINK("https://www.boe.es/gazeta/dias/1803/07/19/pdfs/GMD-1803-57.pdf#page=7","Abrir facsímil")</f>
        <v>Abrir facsímil</v>
      </c>
      <c r="K1742" s="15" t="s">
        <v>23</v>
      </c>
    </row>
    <row r="1743" spans="1:11" ht="42" customHeight="1">
      <c r="A1743" s="4" t="s">
        <v>4550</v>
      </c>
      <c r="B1743" s="5" t="s">
        <v>4550</v>
      </c>
      <c r="C1743" s="5" t="s">
        <v>51</v>
      </c>
      <c r="D1743" s="5" t="s">
        <v>52</v>
      </c>
      <c r="E1743" s="5" t="s">
        <v>207</v>
      </c>
      <c r="F1743" s="9">
        <v>27</v>
      </c>
      <c r="G1743" s="9">
        <v>295</v>
      </c>
      <c r="H1743" s="5" t="s">
        <v>21</v>
      </c>
      <c r="I1743" s="5" t="s">
        <v>4551</v>
      </c>
      <c r="J1743" s="12" t="str">
        <f>HYPERLINK("https://www.boe.es/gazeta/dias/1803/04/05/pdfs/GMD-1803-27.pdf#page=11","Abrir facsímil")</f>
        <v>Abrir facsímil</v>
      </c>
      <c r="K1743" s="15" t="s">
        <v>23</v>
      </c>
    </row>
    <row r="1744" spans="1:11" ht="42" customHeight="1">
      <c r="A1744" s="4" t="s">
        <v>4552</v>
      </c>
      <c r="B1744" s="5" t="s">
        <v>4552</v>
      </c>
      <c r="C1744" s="5" t="s">
        <v>26</v>
      </c>
      <c r="D1744" s="5" t="s">
        <v>27</v>
      </c>
      <c r="E1744" s="5" t="s">
        <v>203</v>
      </c>
      <c r="F1744" s="9">
        <v>32</v>
      </c>
      <c r="G1744" s="9">
        <v>336</v>
      </c>
      <c r="H1744" s="5" t="s">
        <v>21</v>
      </c>
      <c r="I1744" s="5" t="s">
        <v>4553</v>
      </c>
      <c r="J1744" s="12" t="str">
        <f>HYPERLINK("https://www.boe.es/gazeta/dias/1803/04/22/pdfs/GMD-1803-32.pdf#page=8","Abrir facsímil")</f>
        <v>Abrir facsímil</v>
      </c>
      <c r="K1744" s="15" t="s">
        <v>23</v>
      </c>
    </row>
    <row r="1745" spans="1:11" ht="42" customHeight="1">
      <c r="A1745" s="4" t="s">
        <v>4554</v>
      </c>
      <c r="B1745" s="5" t="s">
        <v>4554</v>
      </c>
      <c r="C1745" s="5" t="s">
        <v>46</v>
      </c>
      <c r="D1745" s="5" t="s">
        <v>19</v>
      </c>
      <c r="E1745" s="5" t="s">
        <v>47</v>
      </c>
      <c r="F1745" s="9">
        <v>33</v>
      </c>
      <c r="G1745" s="9">
        <v>349</v>
      </c>
      <c r="H1745" s="5" t="s">
        <v>21</v>
      </c>
      <c r="I1745" s="5" t="s">
        <v>4555</v>
      </c>
      <c r="J1745" s="12" t="str">
        <f>HYPERLINK("https://www.boe.es/gazeta/dias/1803/04/26/pdfs/GMD-1803-33.pdf#page=9","Abrir facsímil")</f>
        <v>Abrir facsímil</v>
      </c>
      <c r="K1745" s="15" t="s">
        <v>23</v>
      </c>
    </row>
    <row r="1746" spans="1:11" ht="42" customHeight="1">
      <c r="A1746" s="4" t="s">
        <v>4556</v>
      </c>
      <c r="B1746" s="5" t="s">
        <v>4556</v>
      </c>
      <c r="C1746" s="5" t="s">
        <v>26</v>
      </c>
      <c r="D1746" s="5" t="s">
        <v>27</v>
      </c>
      <c r="E1746" s="5" t="s">
        <v>403</v>
      </c>
      <c r="F1746" s="9">
        <v>91</v>
      </c>
      <c r="G1746" s="9">
        <v>977</v>
      </c>
      <c r="H1746" s="5" t="s">
        <v>21</v>
      </c>
      <c r="I1746" s="5" t="s">
        <v>4557</v>
      </c>
      <c r="J1746" s="12" t="str">
        <f>HYPERLINK("https://www.boe.es/gazeta/dias/1803/11/11/pdfs/GMD-1803-91.pdf#page=9","Abrir facsímil")</f>
        <v>Abrir facsímil</v>
      </c>
      <c r="K1746" s="15" t="s">
        <v>23</v>
      </c>
    </row>
    <row r="1747" spans="1:11" ht="42" customHeight="1">
      <c r="A1747" s="4" t="s">
        <v>4558</v>
      </c>
      <c r="B1747" s="5" t="s">
        <v>4559</v>
      </c>
      <c r="C1747" s="5" t="s">
        <v>46</v>
      </c>
      <c r="D1747" s="5" t="s">
        <v>19</v>
      </c>
      <c r="E1747" s="5" t="s">
        <v>71</v>
      </c>
      <c r="F1747" s="9">
        <v>39</v>
      </c>
      <c r="G1747" s="9">
        <v>411</v>
      </c>
      <c r="H1747" s="5" t="s">
        <v>21</v>
      </c>
      <c r="I1747" s="5" t="s">
        <v>4560</v>
      </c>
      <c r="J1747" s="12" t="str">
        <f>HYPERLINK("https://www.boe.es/gazeta/dias/1803/05/17/pdfs/GMD-1803-39.pdf#page=7","Abrir facsímil")</f>
        <v>Abrir facsímil</v>
      </c>
      <c r="K1747" s="15" t="s">
        <v>23</v>
      </c>
    </row>
    <row r="1748" spans="1:11" ht="42" customHeight="1">
      <c r="A1748" s="4" t="s">
        <v>4561</v>
      </c>
      <c r="B1748" s="5" t="s">
        <v>4561</v>
      </c>
      <c r="C1748" s="5" t="s">
        <v>26</v>
      </c>
      <c r="D1748" s="5" t="s">
        <v>27</v>
      </c>
      <c r="E1748" s="5" t="s">
        <v>148</v>
      </c>
      <c r="F1748" s="9">
        <v>15</v>
      </c>
      <c r="G1748" s="9">
        <v>158</v>
      </c>
      <c r="H1748" s="5" t="s">
        <v>21</v>
      </c>
      <c r="I1748" s="5" t="s">
        <v>4562</v>
      </c>
      <c r="J1748" s="12" t="str">
        <f>HYPERLINK("https://www.boe.es/gazeta/dias/1803/02/22/pdfs/GMD-1803-15.pdf#page=10","Abrir facsímil")</f>
        <v>Abrir facsímil</v>
      </c>
      <c r="K1748" s="15" t="s">
        <v>23</v>
      </c>
    </row>
    <row r="1749" spans="1:11" ht="42" customHeight="1">
      <c r="A1749" s="4" t="s">
        <v>4563</v>
      </c>
      <c r="B1749" s="5" t="s">
        <v>4563</v>
      </c>
      <c r="C1749" s="5" t="s">
        <v>51</v>
      </c>
      <c r="D1749" s="5" t="s">
        <v>52</v>
      </c>
      <c r="E1749" s="5" t="s">
        <v>93</v>
      </c>
      <c r="F1749" s="9">
        <v>43</v>
      </c>
      <c r="G1749" s="9">
        <v>450</v>
      </c>
      <c r="H1749" s="5" t="s">
        <v>21</v>
      </c>
      <c r="I1749" s="5" t="s">
        <v>4564</v>
      </c>
      <c r="J1749" s="12" t="str">
        <f>HYPERLINK("https://www.boe.es/gazeta/dias/1803/05/31/pdfs/GMD-1803-43.pdf#page=10","Abrir facsímil")</f>
        <v>Abrir facsímil</v>
      </c>
      <c r="K1749" s="15" t="s">
        <v>23</v>
      </c>
    </row>
    <row r="1750" spans="1:11" ht="42" customHeight="1">
      <c r="A1750" s="4" t="s">
        <v>4565</v>
      </c>
      <c r="B1750" s="5" t="s">
        <v>4565</v>
      </c>
      <c r="C1750" s="5" t="s">
        <v>18</v>
      </c>
      <c r="D1750" s="5" t="s">
        <v>19</v>
      </c>
      <c r="E1750" s="5" t="s">
        <v>64</v>
      </c>
      <c r="F1750" s="9">
        <v>65</v>
      </c>
      <c r="G1750" s="9">
        <v>711</v>
      </c>
      <c r="H1750" s="5" t="s">
        <v>21</v>
      </c>
      <c r="I1750" s="5" t="s">
        <v>4566</v>
      </c>
      <c r="J1750" s="12" t="str">
        <f>HYPERLINK("https://www.boe.es/gazeta/dias/1803/08/16/pdfs/GMD-1803-65.pdf#page=11","Abrir facsímil")</f>
        <v>Abrir facsímil</v>
      </c>
      <c r="K1750" s="15" t="s">
        <v>23</v>
      </c>
    </row>
    <row r="1751" spans="1:11" ht="42" customHeight="1">
      <c r="A1751" s="4" t="s">
        <v>4567</v>
      </c>
      <c r="B1751" s="5" t="s">
        <v>4568</v>
      </c>
      <c r="C1751" s="5" t="s">
        <v>40</v>
      </c>
      <c r="D1751" s="5" t="s">
        <v>41</v>
      </c>
      <c r="E1751" s="5" t="s">
        <v>395</v>
      </c>
      <c r="F1751" s="9">
        <v>13</v>
      </c>
      <c r="G1751" s="9">
        <v>126</v>
      </c>
      <c r="H1751" s="5" t="s">
        <v>21</v>
      </c>
      <c r="I1751" s="5" t="s">
        <v>4569</v>
      </c>
      <c r="J1751" s="12" t="str">
        <f>HYPERLINK("https://www.boe.es/gazeta/dias/1803/02/15/pdfs/GMD-1803-13.pdf#page=2","Abrir facsímil")</f>
        <v>Abrir facsímil</v>
      </c>
      <c r="K1751" s="15" t="s">
        <v>23</v>
      </c>
    </row>
    <row r="1752" spans="1:11" ht="42" customHeight="1">
      <c r="A1752" s="4" t="s">
        <v>4567</v>
      </c>
      <c r="B1752" s="5" t="s">
        <v>4568</v>
      </c>
      <c r="C1752" s="5" t="s">
        <v>40</v>
      </c>
      <c r="D1752" s="5" t="s">
        <v>41</v>
      </c>
      <c r="E1752" s="5" t="s">
        <v>164</v>
      </c>
      <c r="F1752" s="9">
        <v>84</v>
      </c>
      <c r="G1752" s="9">
        <v>900</v>
      </c>
      <c r="H1752" s="5" t="s">
        <v>21</v>
      </c>
      <c r="I1752" s="5" t="s">
        <v>4570</v>
      </c>
      <c r="J1752" s="12" t="str">
        <f>HYPERLINK("https://www.boe.es/gazeta/dias/1803/10/18/pdfs/GMD-1803-84.pdf#page=4","Abrir facsímil")</f>
        <v>Abrir facsímil</v>
      </c>
      <c r="K1752" s="15" t="s">
        <v>23</v>
      </c>
    </row>
    <row r="1753" spans="1:11" ht="42" customHeight="1">
      <c r="A1753" s="4" t="s">
        <v>4571</v>
      </c>
      <c r="B1753" s="5" t="s">
        <v>4571</v>
      </c>
      <c r="C1753" s="5" t="s">
        <v>40</v>
      </c>
      <c r="D1753" s="5" t="s">
        <v>41</v>
      </c>
      <c r="E1753" s="5" t="s">
        <v>332</v>
      </c>
      <c r="F1753" s="9">
        <v>11</v>
      </c>
      <c r="G1753" s="9">
        <v>107</v>
      </c>
      <c r="H1753" s="5" t="s">
        <v>21</v>
      </c>
      <c r="I1753" s="5" t="s">
        <v>4572</v>
      </c>
      <c r="J1753" s="12" t="str">
        <f>HYPERLINK("https://www.boe.es/gazeta/dias/1803/02/08/pdfs/GMD-1803-11.pdf#page=3","Abrir facsímil")</f>
        <v>Abrir facsímil</v>
      </c>
      <c r="K1753" s="15" t="s">
        <v>23</v>
      </c>
    </row>
    <row r="1754" spans="1:11" ht="42" customHeight="1">
      <c r="A1754" s="4" t="s">
        <v>4573</v>
      </c>
      <c r="B1754" s="5" t="s">
        <v>4573</v>
      </c>
      <c r="C1754" s="5" t="s">
        <v>40</v>
      </c>
      <c r="D1754" s="5" t="s">
        <v>41</v>
      </c>
      <c r="E1754" s="5" t="s">
        <v>109</v>
      </c>
      <c r="F1754" s="9">
        <v>102</v>
      </c>
      <c r="G1754" s="9">
        <v>1095</v>
      </c>
      <c r="H1754" s="5" t="s">
        <v>21</v>
      </c>
      <c r="I1754" s="5" t="s">
        <v>4574</v>
      </c>
      <c r="J1754" s="12" t="str">
        <f>HYPERLINK("https://www.boe.es/gazeta/dias/1803/12/20/pdfs/GMD-1803-102.pdf#page=7","Abrir facsímil")</f>
        <v>Abrir facsímil</v>
      </c>
      <c r="K1754" s="15" t="s">
        <v>23</v>
      </c>
    </row>
    <row r="1755" spans="1:11" ht="42" customHeight="1">
      <c r="A1755" s="4" t="s">
        <v>4575</v>
      </c>
      <c r="B1755" s="5" t="s">
        <v>4576</v>
      </c>
      <c r="C1755" s="5" t="s">
        <v>26</v>
      </c>
      <c r="D1755" s="5" t="s">
        <v>27</v>
      </c>
      <c r="E1755" s="5" t="s">
        <v>75</v>
      </c>
      <c r="F1755" s="9">
        <v>56</v>
      </c>
      <c r="G1755" s="9">
        <v>611</v>
      </c>
      <c r="H1755" s="5" t="s">
        <v>21</v>
      </c>
      <c r="I1755" s="5" t="s">
        <v>4577</v>
      </c>
      <c r="J1755" s="12" t="str">
        <f>HYPERLINK("https://www.boe.es/gazeta/dias/1803/07/15/pdfs/GMD-1803-56.pdf#page=7","Abrir facsímil")</f>
        <v>Abrir facsímil</v>
      </c>
      <c r="K1755" s="15" t="s">
        <v>23</v>
      </c>
    </row>
    <row r="1756" spans="1:11" ht="42" customHeight="1">
      <c r="A1756" s="4" t="s">
        <v>4578</v>
      </c>
      <c r="B1756" s="5" t="s">
        <v>4579</v>
      </c>
      <c r="C1756" s="5" t="s">
        <v>40</v>
      </c>
      <c r="D1756" s="5" t="s">
        <v>41</v>
      </c>
      <c r="E1756" s="5" t="s">
        <v>28</v>
      </c>
      <c r="F1756" s="9">
        <v>92</v>
      </c>
      <c r="G1756" s="9">
        <v>986</v>
      </c>
      <c r="H1756" s="5" t="s">
        <v>21</v>
      </c>
      <c r="I1756" s="5" t="s">
        <v>4580</v>
      </c>
      <c r="J1756" s="12" t="str">
        <f>HYPERLINK("https://www.boe.es/gazeta/dias/1803/11/15/pdfs/GMD-1803-92.pdf#page=6","Abrir facsímil")</f>
        <v>Abrir facsímil</v>
      </c>
      <c r="K1756" s="15" t="s">
        <v>23</v>
      </c>
    </row>
    <row r="1757" spans="1:11" ht="42" customHeight="1">
      <c r="A1757" s="4" t="s">
        <v>4581</v>
      </c>
      <c r="B1757" s="5" t="s">
        <v>4581</v>
      </c>
      <c r="C1757" s="5" t="s">
        <v>26</v>
      </c>
      <c r="D1757" s="5" t="s">
        <v>27</v>
      </c>
      <c r="E1757" s="5" t="s">
        <v>93</v>
      </c>
      <c r="F1757" s="9">
        <v>43</v>
      </c>
      <c r="G1757" s="9">
        <v>449</v>
      </c>
      <c r="H1757" s="5" t="s">
        <v>21</v>
      </c>
      <c r="I1757" s="5" t="s">
        <v>4582</v>
      </c>
      <c r="J1757" s="12" t="str">
        <f>HYPERLINK("https://www.boe.es/gazeta/dias/1803/05/31/pdfs/GMD-1803-43.pdf#page=9","Abrir facsímil")</f>
        <v>Abrir facsímil</v>
      </c>
      <c r="K1757" s="15" t="s">
        <v>23</v>
      </c>
    </row>
    <row r="1758" spans="1:11" ht="42" customHeight="1">
      <c r="A1758" s="4" t="s">
        <v>4583</v>
      </c>
      <c r="B1758" s="5" t="s">
        <v>4583</v>
      </c>
      <c r="C1758" s="5" t="s">
        <v>26</v>
      </c>
      <c r="D1758" s="5" t="s">
        <v>27</v>
      </c>
      <c r="E1758" s="5" t="s">
        <v>519</v>
      </c>
      <c r="F1758" s="9">
        <v>50</v>
      </c>
      <c r="G1758" s="9">
        <v>541</v>
      </c>
      <c r="H1758" s="5" t="s">
        <v>21</v>
      </c>
      <c r="I1758" s="5" t="s">
        <v>4584</v>
      </c>
      <c r="J1758" s="12" t="str">
        <f>HYPERLINK("https://www.boe.es/gazeta/dias/1803/06/24/pdfs/GMD-1803-50.pdf#page=9","Abrir facsímil")</f>
        <v>Abrir facsímil</v>
      </c>
      <c r="K1758" s="15" t="s">
        <v>23</v>
      </c>
    </row>
    <row r="1759" spans="1:11" ht="42" customHeight="1">
      <c r="A1759" s="4" t="s">
        <v>4585</v>
      </c>
      <c r="B1759" s="5" t="s">
        <v>4586</v>
      </c>
      <c r="C1759" s="5" t="s">
        <v>40</v>
      </c>
      <c r="D1759" s="5" t="s">
        <v>41</v>
      </c>
      <c r="E1759" s="5" t="s">
        <v>53</v>
      </c>
      <c r="F1759" s="9">
        <v>99</v>
      </c>
      <c r="G1759" s="9">
        <v>1061</v>
      </c>
      <c r="H1759" s="5" t="s">
        <v>21</v>
      </c>
      <c r="I1759" s="5" t="s">
        <v>4587</v>
      </c>
      <c r="J1759" s="12" t="str">
        <f>HYPERLINK("https://www.boe.es/gazeta/dias/1803/12/09/pdfs/GMD-1803-99.pdf#page=9","Abrir facsímil")</f>
        <v>Abrir facsímil</v>
      </c>
      <c r="K1759" s="15" t="s">
        <v>23</v>
      </c>
    </row>
    <row r="1760" spans="1:11" ht="42" customHeight="1">
      <c r="A1760" s="4" t="s">
        <v>4588</v>
      </c>
      <c r="B1760" s="5" t="s">
        <v>4589</v>
      </c>
      <c r="C1760" s="5" t="s">
        <v>40</v>
      </c>
      <c r="D1760" s="5" t="s">
        <v>41</v>
      </c>
      <c r="E1760" s="5" t="s">
        <v>369</v>
      </c>
      <c r="F1760" s="9">
        <v>100</v>
      </c>
      <c r="G1760" s="9">
        <v>1074</v>
      </c>
      <c r="H1760" s="5" t="s">
        <v>21</v>
      </c>
      <c r="I1760" s="5" t="s">
        <v>4590</v>
      </c>
      <c r="J1760" s="12" t="str">
        <f>HYPERLINK("https://www.boe.es/gazeta/dias/1803/12/13/pdfs/GMD-1803-100.pdf#page=10","Abrir facsímil")</f>
        <v>Abrir facsímil</v>
      </c>
      <c r="K1760" s="15" t="s">
        <v>23</v>
      </c>
    </row>
    <row r="1761" spans="1:11" ht="42" customHeight="1">
      <c r="A1761" s="4" t="s">
        <v>4591</v>
      </c>
      <c r="B1761" s="5" t="s">
        <v>4592</v>
      </c>
      <c r="C1761" s="5" t="s">
        <v>18</v>
      </c>
      <c r="D1761" s="5" t="s">
        <v>19</v>
      </c>
      <c r="E1761" s="5" t="s">
        <v>207</v>
      </c>
      <c r="F1761" s="9">
        <v>27</v>
      </c>
      <c r="G1761" s="9">
        <v>292</v>
      </c>
      <c r="H1761" s="5" t="s">
        <v>21</v>
      </c>
      <c r="I1761" s="5" t="s">
        <v>4593</v>
      </c>
      <c r="J1761" s="12" t="str">
        <f>HYPERLINK("https://www.boe.es/gazeta/dias/1803/04/05/pdfs/GMD-1803-27.pdf#page=8","Abrir facsímil")</f>
        <v>Abrir facsímil</v>
      </c>
      <c r="K1761" s="15" t="s">
        <v>23</v>
      </c>
    </row>
    <row r="1762" spans="1:11" ht="42" customHeight="1">
      <c r="A1762" s="4" t="s">
        <v>4594</v>
      </c>
      <c r="B1762" s="5" t="s">
        <v>4594</v>
      </c>
      <c r="C1762" s="5" t="s">
        <v>26</v>
      </c>
      <c r="D1762" s="5" t="s">
        <v>27</v>
      </c>
      <c r="E1762" s="5" t="s">
        <v>403</v>
      </c>
      <c r="F1762" s="9">
        <v>91</v>
      </c>
      <c r="G1762" s="9">
        <v>977</v>
      </c>
      <c r="H1762" s="5" t="s">
        <v>21</v>
      </c>
      <c r="I1762" s="5" t="s">
        <v>4595</v>
      </c>
      <c r="J1762" s="12" t="str">
        <f>HYPERLINK("https://www.boe.es/gazeta/dias/1803/11/11/pdfs/GMD-1803-91.pdf#page=9","Abrir facsímil")</f>
        <v>Abrir facsímil</v>
      </c>
      <c r="K1762" s="15" t="s">
        <v>23</v>
      </c>
    </row>
    <row r="1763" spans="1:11" ht="42" customHeight="1">
      <c r="A1763" s="4" t="s">
        <v>4596</v>
      </c>
      <c r="B1763" s="5" t="s">
        <v>4597</v>
      </c>
      <c r="C1763" s="5" t="s">
        <v>80</v>
      </c>
      <c r="D1763" s="5" t="s">
        <v>81</v>
      </c>
      <c r="E1763" s="5" t="s">
        <v>71</v>
      </c>
      <c r="F1763" s="9">
        <v>39</v>
      </c>
      <c r="G1763" s="9">
        <v>416</v>
      </c>
      <c r="H1763" s="5" t="s">
        <v>21</v>
      </c>
      <c r="I1763" s="5" t="s">
        <v>4598</v>
      </c>
      <c r="J1763" s="12" t="str">
        <f>HYPERLINK("https://www.boe.es/gazeta/dias/1803/05/17/pdfs/GMD-1803-39.pdf#page=12","Abrir facsímil")</f>
        <v>Abrir facsímil</v>
      </c>
      <c r="K1763" s="15" t="s">
        <v>23</v>
      </c>
    </row>
    <row r="1764" spans="1:11" ht="42" customHeight="1">
      <c r="A1764" s="4" t="s">
        <v>4599</v>
      </c>
      <c r="B1764" s="5" t="s">
        <v>4600</v>
      </c>
      <c r="C1764" s="5" t="s">
        <v>26</v>
      </c>
      <c r="D1764" s="5" t="s">
        <v>27</v>
      </c>
      <c r="E1764" s="5" t="s">
        <v>300</v>
      </c>
      <c r="F1764" s="9">
        <v>96</v>
      </c>
      <c r="G1764" s="9">
        <v>1034</v>
      </c>
      <c r="H1764" s="5" t="s">
        <v>21</v>
      </c>
      <c r="I1764" s="5" t="s">
        <v>4601</v>
      </c>
      <c r="J1764" s="12" t="str">
        <f>HYPERLINK("https://www.boe.es/gazeta/dias/1803/11/29/pdfs/GMD-1803-96.pdf#page=10","Abrir facsímil")</f>
        <v>Abrir facsímil</v>
      </c>
      <c r="K1764" s="15" t="s">
        <v>23</v>
      </c>
    </row>
    <row r="1765" spans="1:11" ht="42" customHeight="1">
      <c r="A1765" s="4" t="s">
        <v>4602</v>
      </c>
      <c r="B1765" s="5" t="s">
        <v>4602</v>
      </c>
      <c r="C1765" s="5" t="s">
        <v>26</v>
      </c>
      <c r="D1765" s="5" t="s">
        <v>27</v>
      </c>
      <c r="E1765" s="5" t="s">
        <v>218</v>
      </c>
      <c r="F1765" s="9">
        <v>19</v>
      </c>
      <c r="G1765" s="9">
        <v>201</v>
      </c>
      <c r="H1765" s="5" t="s">
        <v>21</v>
      </c>
      <c r="I1765" s="5" t="s">
        <v>4603</v>
      </c>
      <c r="J1765" s="12" t="str">
        <f>HYPERLINK("https://www.boe.es/gazeta/dias/1803/03/08/pdfs/GMD-1803-19.pdf#page=9","Abrir facsímil")</f>
        <v>Abrir facsímil</v>
      </c>
      <c r="K1765" s="15" t="s">
        <v>23</v>
      </c>
    </row>
    <row r="1766" spans="1:11" ht="42" customHeight="1">
      <c r="A1766" s="4" t="s">
        <v>4604</v>
      </c>
      <c r="B1766" s="5" t="s">
        <v>4604</v>
      </c>
      <c r="C1766" s="5" t="s">
        <v>26</v>
      </c>
      <c r="D1766" s="5" t="s">
        <v>27</v>
      </c>
      <c r="E1766" s="5" t="s">
        <v>261</v>
      </c>
      <c r="F1766" s="9">
        <v>70</v>
      </c>
      <c r="G1766" s="9">
        <v>766</v>
      </c>
      <c r="H1766" s="5" t="s">
        <v>21</v>
      </c>
      <c r="I1766" s="5" t="s">
        <v>4605</v>
      </c>
      <c r="J1766" s="12" t="str">
        <f>HYPERLINK("https://www.boe.es/gazeta/dias/1803/09/02/pdfs/GMD-1803-70.pdf#page=6","Abrir facsímil")</f>
        <v>Abrir facsímil</v>
      </c>
      <c r="K1766" s="15" t="s">
        <v>23</v>
      </c>
    </row>
    <row r="1767" spans="1:11" ht="42" customHeight="1">
      <c r="A1767" s="4" t="s">
        <v>4606</v>
      </c>
      <c r="B1767" s="5" t="s">
        <v>4606</v>
      </c>
      <c r="C1767" s="5" t="s">
        <v>51</v>
      </c>
      <c r="D1767" s="5" t="s">
        <v>52</v>
      </c>
      <c r="E1767" s="5" t="s">
        <v>403</v>
      </c>
      <c r="F1767" s="9">
        <v>91</v>
      </c>
      <c r="G1767" s="9">
        <v>976</v>
      </c>
      <c r="H1767" s="5" t="s">
        <v>21</v>
      </c>
      <c r="I1767" s="5" t="s">
        <v>4607</v>
      </c>
      <c r="J1767" s="12" t="str">
        <f>HYPERLINK("https://www.boe.es/gazeta/dias/1803/11/11/pdfs/GMD-1803-91.pdf#page=8","Abrir facsímil")</f>
        <v>Abrir facsímil</v>
      </c>
      <c r="K1767" s="15" t="s">
        <v>23</v>
      </c>
    </row>
    <row r="1768" spans="1:11" ht="42" customHeight="1">
      <c r="A1768" s="4" t="s">
        <v>4608</v>
      </c>
      <c r="B1768" s="5" t="s">
        <v>4608</v>
      </c>
      <c r="C1768" s="5" t="s">
        <v>80</v>
      </c>
      <c r="D1768" s="5" t="s">
        <v>81</v>
      </c>
      <c r="E1768" s="5" t="s">
        <v>910</v>
      </c>
      <c r="F1768" s="9">
        <v>66</v>
      </c>
      <c r="G1768" s="9">
        <v>720</v>
      </c>
      <c r="H1768" s="5" t="s">
        <v>21</v>
      </c>
      <c r="I1768" s="5" t="s">
        <v>4609</v>
      </c>
      <c r="J1768" s="12" t="str">
        <f>HYPERLINK("https://www.boe.es/gazeta/dias/1803/08/19/pdfs/GMD-1803-66.pdf#page=8","Abrir facsímil")</f>
        <v>Abrir facsímil</v>
      </c>
      <c r="K1768" s="15" t="s">
        <v>23</v>
      </c>
    </row>
    <row r="1769" spans="1:11" ht="42" customHeight="1">
      <c r="A1769" s="4" t="s">
        <v>4610</v>
      </c>
      <c r="B1769" s="5" t="s">
        <v>4611</v>
      </c>
      <c r="C1769" s="5" t="s">
        <v>26</v>
      </c>
      <c r="D1769" s="5" t="s">
        <v>27</v>
      </c>
      <c r="E1769" s="5" t="s">
        <v>403</v>
      </c>
      <c r="F1769" s="9">
        <v>91</v>
      </c>
      <c r="G1769" s="9">
        <v>977</v>
      </c>
      <c r="H1769" s="5" t="s">
        <v>21</v>
      </c>
      <c r="I1769" s="5" t="s">
        <v>4612</v>
      </c>
      <c r="J1769" s="12" t="str">
        <f>HYPERLINK("https://www.boe.es/gazeta/dias/1803/11/11/pdfs/GMD-1803-91.pdf#page=9","Abrir facsímil")</f>
        <v>Abrir facsímil</v>
      </c>
      <c r="K1769" s="15" t="s">
        <v>23</v>
      </c>
    </row>
    <row r="1770" spans="1:11" ht="42" customHeight="1">
      <c r="A1770" s="4" t="s">
        <v>4613</v>
      </c>
      <c r="B1770" s="5" t="s">
        <v>4614</v>
      </c>
      <c r="C1770" s="5" t="s">
        <v>51</v>
      </c>
      <c r="D1770" s="5" t="s">
        <v>52</v>
      </c>
      <c r="E1770" s="5" t="s">
        <v>477</v>
      </c>
      <c r="F1770" s="9">
        <v>48</v>
      </c>
      <c r="G1770" s="9">
        <v>511</v>
      </c>
      <c r="H1770" s="5" t="s">
        <v>21</v>
      </c>
      <c r="I1770" s="5" t="s">
        <v>4615</v>
      </c>
      <c r="J1770" s="12" t="str">
        <f>HYPERLINK("https://www.boe.es/gazeta/dias/1803/06/17/pdfs/GMD-1803-48.pdf#page=11","Abrir facsímil")</f>
        <v>Abrir facsímil</v>
      </c>
      <c r="K1770" s="15" t="s">
        <v>23</v>
      </c>
    </row>
    <row r="1771" spans="1:11" ht="42" customHeight="1">
      <c r="A1771" s="4" t="s">
        <v>4613</v>
      </c>
      <c r="B1771" s="5" t="s">
        <v>4614</v>
      </c>
      <c r="C1771" s="5" t="s">
        <v>26</v>
      </c>
      <c r="D1771" s="5" t="s">
        <v>27</v>
      </c>
      <c r="E1771" s="5" t="s">
        <v>361</v>
      </c>
      <c r="F1771" s="9">
        <v>62</v>
      </c>
      <c r="G1771" s="9">
        <v>675</v>
      </c>
      <c r="H1771" s="5" t="s">
        <v>21</v>
      </c>
      <c r="I1771" s="5" t="s">
        <v>4616</v>
      </c>
      <c r="J1771" s="12" t="str">
        <f>HYPERLINK("https://www.boe.es/gazeta/dias/1803/08/05/pdfs/GMD-1803-62.pdf#page=7","Abrir facsímil")</f>
        <v>Abrir facsímil</v>
      </c>
      <c r="K1771" s="15" t="s">
        <v>23</v>
      </c>
    </row>
    <row r="1772" spans="1:11" ht="42" customHeight="1">
      <c r="A1772" s="4" t="s">
        <v>4617</v>
      </c>
      <c r="B1772" s="5" t="s">
        <v>4618</v>
      </c>
      <c r="C1772" s="5" t="s">
        <v>18</v>
      </c>
      <c r="D1772" s="5" t="s">
        <v>19</v>
      </c>
      <c r="E1772" s="5" t="s">
        <v>189</v>
      </c>
      <c r="F1772" s="9">
        <v>9</v>
      </c>
      <c r="G1772" s="9">
        <v>92</v>
      </c>
      <c r="H1772" s="5" t="s">
        <v>21</v>
      </c>
      <c r="I1772" s="5" t="s">
        <v>4619</v>
      </c>
      <c r="J1772" s="12" t="str">
        <f>HYPERLINK("https://www.boe.es/gazeta/dias/1803/02/01/pdfs/GMD-1803-9.pdf#page=8","Abrir facsímil")</f>
        <v>Abrir facsímil</v>
      </c>
      <c r="K1772" s="15" t="s">
        <v>23</v>
      </c>
    </row>
    <row r="1773" spans="1:11" ht="42" customHeight="1">
      <c r="A1773" s="4" t="s">
        <v>4620</v>
      </c>
      <c r="B1773" s="5" t="s">
        <v>4621</v>
      </c>
      <c r="C1773" s="5" t="s">
        <v>26</v>
      </c>
      <c r="D1773" s="5" t="s">
        <v>27</v>
      </c>
      <c r="E1773" s="5" t="s">
        <v>373</v>
      </c>
      <c r="F1773" s="9">
        <v>77</v>
      </c>
      <c r="G1773" s="9">
        <v>834</v>
      </c>
      <c r="H1773" s="5" t="s">
        <v>21</v>
      </c>
      <c r="I1773" s="5" t="s">
        <v>4622</v>
      </c>
      <c r="J1773" s="12" t="str">
        <f>HYPERLINK("https://www.boe.es/gazeta/dias/1803/09/23/pdfs/GMD-1803-77.pdf#page=10","Abrir facsímil")</f>
        <v>Abrir facsímil</v>
      </c>
      <c r="K1773" s="15" t="s">
        <v>23</v>
      </c>
    </row>
    <row r="1774" spans="1:11" ht="42" customHeight="1">
      <c r="A1774" s="4" t="s">
        <v>4623</v>
      </c>
      <c r="B1774" s="5" t="s">
        <v>4624</v>
      </c>
      <c r="C1774" s="5" t="s">
        <v>51</v>
      </c>
      <c r="D1774" s="5" t="s">
        <v>52</v>
      </c>
      <c r="E1774" s="5" t="s">
        <v>303</v>
      </c>
      <c r="F1774" s="9">
        <v>8</v>
      </c>
      <c r="G1774" s="9">
        <v>79</v>
      </c>
      <c r="H1774" s="5" t="s">
        <v>21</v>
      </c>
      <c r="I1774" s="5" t="s">
        <v>4625</v>
      </c>
      <c r="J1774" s="12" t="str">
        <f>HYPERLINK("https://www.boe.es/gazeta/dias/1803/01/28/pdfs/GMD-1803-8.pdf#page=7","Abrir facsímil")</f>
        <v>Abrir facsímil</v>
      </c>
      <c r="K1774" s="15" t="s">
        <v>23</v>
      </c>
    </row>
    <row r="1775" spans="1:11" ht="42" customHeight="1">
      <c r="A1775" s="4" t="s">
        <v>4626</v>
      </c>
      <c r="B1775" s="5" t="s">
        <v>4627</v>
      </c>
      <c r="C1775" s="5" t="s">
        <v>51</v>
      </c>
      <c r="D1775" s="5" t="s">
        <v>52</v>
      </c>
      <c r="E1775" s="5" t="s">
        <v>109</v>
      </c>
      <c r="F1775" s="9">
        <v>102</v>
      </c>
      <c r="G1775" s="9">
        <v>1096</v>
      </c>
      <c r="H1775" s="5" t="s">
        <v>21</v>
      </c>
      <c r="I1775" s="5" t="s">
        <v>4628</v>
      </c>
      <c r="J1775" s="12" t="str">
        <f>HYPERLINK("https://www.boe.es/gazeta/dias/1803/12/20/pdfs/GMD-1803-102.pdf#page=8","Abrir facsímil")</f>
        <v>Abrir facsímil</v>
      </c>
      <c r="K1775" s="15" t="s">
        <v>23</v>
      </c>
    </row>
    <row r="1776" spans="1:11" ht="42" customHeight="1">
      <c r="A1776" s="4" t="s">
        <v>4629</v>
      </c>
      <c r="B1776" s="5" t="s">
        <v>4629</v>
      </c>
      <c r="C1776" s="5" t="s">
        <v>40</v>
      </c>
      <c r="D1776" s="5" t="s">
        <v>41</v>
      </c>
      <c r="E1776" s="5" t="s">
        <v>28</v>
      </c>
      <c r="F1776" s="9">
        <v>92</v>
      </c>
      <c r="G1776" s="9">
        <v>985</v>
      </c>
      <c r="H1776" s="5" t="s">
        <v>21</v>
      </c>
      <c r="I1776" s="5" t="s">
        <v>4630</v>
      </c>
      <c r="J1776" s="12" t="str">
        <f>HYPERLINK("https://www.boe.es/gazeta/dias/1803/11/15/pdfs/GMD-1803-92.pdf#page=5","Abrir facsímil")</f>
        <v>Abrir facsímil</v>
      </c>
      <c r="K1776" s="15" t="s">
        <v>23</v>
      </c>
    </row>
    <row r="1777" spans="1:11" ht="42" customHeight="1">
      <c r="A1777" s="4" t="s">
        <v>4631</v>
      </c>
      <c r="B1777" s="5" t="s">
        <v>4631</v>
      </c>
      <c r="C1777" s="5" t="s">
        <v>26</v>
      </c>
      <c r="D1777" s="5" t="s">
        <v>27</v>
      </c>
      <c r="E1777" s="5" t="s">
        <v>407</v>
      </c>
      <c r="F1777" s="9">
        <v>82</v>
      </c>
      <c r="G1777" s="9">
        <v>882</v>
      </c>
      <c r="H1777" s="5" t="s">
        <v>21</v>
      </c>
      <c r="I1777" s="5" t="s">
        <v>4632</v>
      </c>
      <c r="J1777" s="12" t="str">
        <f>HYPERLINK("https://www.boe.es/gazeta/dias/1803/10/11/pdfs/GMD-1803-82.pdf#page=6","Abrir facsímil")</f>
        <v>Abrir facsímil</v>
      </c>
      <c r="K1777" s="15" t="s">
        <v>23</v>
      </c>
    </row>
    <row r="1778" spans="1:11" ht="42" customHeight="1">
      <c r="A1778" s="4" t="s">
        <v>4633</v>
      </c>
      <c r="B1778" s="5" t="s">
        <v>4633</v>
      </c>
      <c r="C1778" s="5" t="s">
        <v>51</v>
      </c>
      <c r="D1778" s="5" t="s">
        <v>52</v>
      </c>
      <c r="E1778" s="5" t="s">
        <v>606</v>
      </c>
      <c r="F1778" s="9">
        <v>47</v>
      </c>
      <c r="G1778" s="9">
        <v>497</v>
      </c>
      <c r="H1778" s="5" t="s">
        <v>21</v>
      </c>
      <c r="I1778" s="5" t="s">
        <v>4634</v>
      </c>
      <c r="J1778" s="12" t="str">
        <f>HYPERLINK("https://www.boe.es/gazeta/dias/1803/06/14/pdfs/GMD-1803-47.pdf#page=9","Abrir facsímil")</f>
        <v>Abrir facsímil</v>
      </c>
      <c r="K1778" s="15" t="s">
        <v>23</v>
      </c>
    </row>
    <row r="1779" spans="1:11" ht="42" customHeight="1">
      <c r="A1779" s="4" t="s">
        <v>4635</v>
      </c>
      <c r="B1779" s="5" t="s">
        <v>4635</v>
      </c>
      <c r="C1779" s="5" t="s">
        <v>51</v>
      </c>
      <c r="D1779" s="5" t="s">
        <v>52</v>
      </c>
      <c r="E1779" s="5" t="s">
        <v>910</v>
      </c>
      <c r="F1779" s="9">
        <v>66</v>
      </c>
      <c r="G1779" s="9">
        <v>719</v>
      </c>
      <c r="H1779" s="5" t="s">
        <v>21</v>
      </c>
      <c r="I1779" s="5" t="s">
        <v>4636</v>
      </c>
      <c r="J1779" s="12" t="str">
        <f>HYPERLINK("https://www.boe.es/gazeta/dias/1803/08/19/pdfs/GMD-1803-66.pdf#page=7","Abrir facsímil")</f>
        <v>Abrir facsímil</v>
      </c>
      <c r="K1779" s="15" t="s">
        <v>23</v>
      </c>
    </row>
    <row r="1780" spans="1:11" ht="42" customHeight="1">
      <c r="A1780" s="4" t="s">
        <v>4637</v>
      </c>
      <c r="B1780" s="5" t="s">
        <v>4638</v>
      </c>
      <c r="C1780" s="5" t="s">
        <v>80</v>
      </c>
      <c r="D1780" s="5" t="s">
        <v>81</v>
      </c>
      <c r="E1780" s="5" t="s">
        <v>164</v>
      </c>
      <c r="F1780" s="9">
        <v>84</v>
      </c>
      <c r="G1780" s="9">
        <v>904</v>
      </c>
      <c r="H1780" s="5" t="s">
        <v>21</v>
      </c>
      <c r="I1780" s="5" t="s">
        <v>4639</v>
      </c>
      <c r="J1780" s="12" t="str">
        <f>HYPERLINK("https://www.boe.es/gazeta/dias/1803/10/18/pdfs/GMD-1803-84.pdf#page=8","Abrir facsímil")</f>
        <v>Abrir facsímil</v>
      </c>
      <c r="K1780" s="15" t="s">
        <v>23</v>
      </c>
    </row>
    <row r="1781" spans="1:11" ht="42" customHeight="1">
      <c r="A1781" s="4" t="s">
        <v>4640</v>
      </c>
      <c r="B1781" s="5" t="s">
        <v>4641</v>
      </c>
      <c r="C1781" s="5" t="s">
        <v>26</v>
      </c>
      <c r="D1781" s="5" t="s">
        <v>27</v>
      </c>
      <c r="E1781" s="5" t="s">
        <v>71</v>
      </c>
      <c r="F1781" s="9">
        <v>39</v>
      </c>
      <c r="G1781" s="9">
        <v>412</v>
      </c>
      <c r="H1781" s="5" t="s">
        <v>21</v>
      </c>
      <c r="I1781" s="5" t="s">
        <v>4642</v>
      </c>
      <c r="J1781" s="12" t="str">
        <f>HYPERLINK("https://www.boe.es/gazeta/dias/1803/05/17/pdfs/GMD-1803-39.pdf#page=8","Abrir facsímil")</f>
        <v>Abrir facsímil</v>
      </c>
      <c r="K1781" s="15" t="s">
        <v>23</v>
      </c>
    </row>
    <row r="1782" spans="1:11" ht="42" customHeight="1">
      <c r="A1782" s="4" t="s">
        <v>4643</v>
      </c>
      <c r="B1782" s="5" t="s">
        <v>4644</v>
      </c>
      <c r="C1782" s="5" t="s">
        <v>80</v>
      </c>
      <c r="D1782" s="5" t="s">
        <v>81</v>
      </c>
      <c r="E1782" s="5" t="s">
        <v>231</v>
      </c>
      <c r="F1782" s="9">
        <v>26</v>
      </c>
      <c r="G1782" s="9">
        <v>283</v>
      </c>
      <c r="H1782" s="5" t="s">
        <v>21</v>
      </c>
      <c r="I1782" s="5" t="s">
        <v>4645</v>
      </c>
      <c r="J1782" s="12" t="str">
        <f>HYPERLINK("https://www.boe.es/gazeta/dias/1803/04/01/pdfs/GMD-1803-26.pdf#page=11","Abrir facsímil")</f>
        <v>Abrir facsímil</v>
      </c>
      <c r="K1782" s="15" t="s">
        <v>23</v>
      </c>
    </row>
    <row r="1783" spans="1:11" ht="42" customHeight="1">
      <c r="A1783" s="4" t="s">
        <v>4646</v>
      </c>
      <c r="B1783" s="5" t="s">
        <v>4647</v>
      </c>
      <c r="C1783" s="5" t="s">
        <v>51</v>
      </c>
      <c r="D1783" s="5" t="s">
        <v>52</v>
      </c>
      <c r="E1783" s="5" t="s">
        <v>85</v>
      </c>
      <c r="F1783" s="9">
        <v>49</v>
      </c>
      <c r="G1783" s="9">
        <v>524</v>
      </c>
      <c r="H1783" s="5" t="s">
        <v>21</v>
      </c>
      <c r="I1783" s="5" t="s">
        <v>4648</v>
      </c>
      <c r="J1783" s="12" t="str">
        <f>HYPERLINK("https://www.boe.es/gazeta/dias/1803/06/21/pdfs/GMD-1803-49.pdf#page=12","Abrir facsímil")</f>
        <v>Abrir facsímil</v>
      </c>
      <c r="K1783" s="15" t="s">
        <v>23</v>
      </c>
    </row>
    <row r="1784" spans="1:11" ht="42" customHeight="1">
      <c r="A1784" s="4" t="s">
        <v>4649</v>
      </c>
      <c r="B1784" s="5" t="s">
        <v>4650</v>
      </c>
      <c r="C1784" s="5" t="s">
        <v>26</v>
      </c>
      <c r="D1784" s="5" t="s">
        <v>27</v>
      </c>
      <c r="E1784" s="5" t="s">
        <v>138</v>
      </c>
      <c r="F1784" s="9">
        <v>68</v>
      </c>
      <c r="G1784" s="9">
        <v>741</v>
      </c>
      <c r="H1784" s="5" t="s">
        <v>21</v>
      </c>
      <c r="I1784" s="5" t="s">
        <v>4651</v>
      </c>
      <c r="J1784" s="12" t="str">
        <f>HYPERLINK("https://www.boe.es/gazeta/dias/1803/08/26/pdfs/GMD-1803-68.pdf#page=9","Abrir facsímil")</f>
        <v>Abrir facsímil</v>
      </c>
      <c r="K1784" s="15" t="s">
        <v>23</v>
      </c>
    </row>
    <row r="1785" spans="1:11" ht="42" customHeight="1">
      <c r="A1785" s="4" t="s">
        <v>4652</v>
      </c>
      <c r="B1785" s="5" t="s">
        <v>4653</v>
      </c>
      <c r="C1785" s="5" t="s">
        <v>40</v>
      </c>
      <c r="D1785" s="5" t="s">
        <v>41</v>
      </c>
      <c r="E1785" s="5" t="s">
        <v>160</v>
      </c>
      <c r="F1785" s="9">
        <v>81</v>
      </c>
      <c r="G1785" s="9">
        <v>865</v>
      </c>
      <c r="H1785" s="5" t="s">
        <v>21</v>
      </c>
      <c r="I1785" s="5" t="s">
        <v>4654</v>
      </c>
      <c r="J1785" s="12" t="str">
        <f>HYPERLINK("https://www.boe.es/gazeta/dias/1803/10/07/pdfs/GMD-1803-81.pdf#page=1","Abrir facsímil")</f>
        <v>Abrir facsímil</v>
      </c>
      <c r="K1785" s="15" t="s">
        <v>23</v>
      </c>
    </row>
    <row r="1786" spans="1:11" ht="42" customHeight="1">
      <c r="A1786" s="4" t="s">
        <v>4652</v>
      </c>
      <c r="B1786" s="5" t="s">
        <v>4653</v>
      </c>
      <c r="C1786" s="5" t="s">
        <v>40</v>
      </c>
      <c r="D1786" s="5" t="s">
        <v>41</v>
      </c>
      <c r="E1786" s="5" t="s">
        <v>403</v>
      </c>
      <c r="F1786" s="9">
        <v>91</v>
      </c>
      <c r="G1786" s="9">
        <v>970</v>
      </c>
      <c r="H1786" s="5" t="s">
        <v>21</v>
      </c>
      <c r="I1786" s="5" t="s">
        <v>4655</v>
      </c>
      <c r="J1786" s="12" t="str">
        <f>HYPERLINK("https://www.boe.es/gazeta/dias/1803/11/11/pdfs/GMD-1803-91.pdf#page=2","Abrir facsímil")</f>
        <v>Abrir facsímil</v>
      </c>
      <c r="K1786" s="15" t="s">
        <v>23</v>
      </c>
    </row>
    <row r="1787" spans="1:11" ht="42" customHeight="1">
      <c r="A1787" s="4" t="s">
        <v>4656</v>
      </c>
      <c r="B1787" s="5" t="s">
        <v>4656</v>
      </c>
      <c r="C1787" s="5" t="s">
        <v>18</v>
      </c>
      <c r="D1787" s="5" t="s">
        <v>19</v>
      </c>
      <c r="E1787" s="5" t="s">
        <v>211</v>
      </c>
      <c r="F1787" s="9">
        <v>71</v>
      </c>
      <c r="G1787" s="9">
        <v>780</v>
      </c>
      <c r="H1787" s="5" t="s">
        <v>21</v>
      </c>
      <c r="I1787" s="5" t="s">
        <v>4657</v>
      </c>
      <c r="J1787" s="12" t="str">
        <f>HYPERLINK("https://www.boe.es/gazeta/dias/1803/09/06/pdfs/GMD-1803-71.pdf#page=12","Abrir facsímil")</f>
        <v>Abrir facsímil</v>
      </c>
      <c r="K1787" s="15" t="s">
        <v>23</v>
      </c>
    </row>
    <row r="1788" spans="1:11" ht="42" customHeight="1">
      <c r="A1788" s="4" t="s">
        <v>4658</v>
      </c>
      <c r="B1788" s="5" t="s">
        <v>4658</v>
      </c>
      <c r="C1788" s="5" t="s">
        <v>46</v>
      </c>
      <c r="D1788" s="5" t="s">
        <v>19</v>
      </c>
      <c r="E1788" s="5" t="s">
        <v>77</v>
      </c>
      <c r="F1788" s="9">
        <v>64</v>
      </c>
      <c r="G1788" s="9">
        <v>699</v>
      </c>
      <c r="H1788" s="5" t="s">
        <v>21</v>
      </c>
      <c r="I1788" s="5" t="s">
        <v>4659</v>
      </c>
      <c r="J1788" s="12" t="str">
        <f>HYPERLINK("https://www.boe.es/gazeta/dias/1803/08/12/pdfs/GMD-1803-64.pdf#page=7","Abrir facsímil")</f>
        <v>Abrir facsímil</v>
      </c>
      <c r="K1788" s="15" t="s">
        <v>23</v>
      </c>
    </row>
    <row r="1789" spans="1:11" ht="42" customHeight="1">
      <c r="A1789" s="4" t="s">
        <v>4658</v>
      </c>
      <c r="B1789" s="5" t="s">
        <v>4658</v>
      </c>
      <c r="C1789" s="5" t="s">
        <v>26</v>
      </c>
      <c r="D1789" s="5" t="s">
        <v>27</v>
      </c>
      <c r="E1789" s="5" t="s">
        <v>109</v>
      </c>
      <c r="F1789" s="9">
        <v>102</v>
      </c>
      <c r="G1789" s="9">
        <v>1098</v>
      </c>
      <c r="H1789" s="5" t="s">
        <v>21</v>
      </c>
      <c r="I1789" s="5" t="s">
        <v>4660</v>
      </c>
      <c r="J1789" s="12" t="str">
        <f>HYPERLINK("https://www.boe.es/gazeta/dias/1803/12/20/pdfs/GMD-1803-102.pdf#page=10","Abrir facsímil")</f>
        <v>Abrir facsímil</v>
      </c>
      <c r="K1789" s="15" t="s">
        <v>23</v>
      </c>
    </row>
    <row r="1790" spans="1:11" ht="42" customHeight="1">
      <c r="A1790" s="4" t="s">
        <v>4661</v>
      </c>
      <c r="B1790" s="5" t="s">
        <v>4661</v>
      </c>
      <c r="C1790" s="5" t="s">
        <v>26</v>
      </c>
      <c r="D1790" s="5" t="s">
        <v>27</v>
      </c>
      <c r="E1790" s="5" t="s">
        <v>113</v>
      </c>
      <c r="F1790" s="9">
        <v>93</v>
      </c>
      <c r="G1790" s="9">
        <v>1000</v>
      </c>
      <c r="H1790" s="5" t="s">
        <v>21</v>
      </c>
      <c r="I1790" s="5" t="s">
        <v>4662</v>
      </c>
      <c r="J1790" s="12" t="str">
        <f>HYPERLINK("https://www.boe.es/gazeta/dias/1803/11/18/pdfs/GMD-1803-93.pdf#page=12","Abrir facsímil")</f>
        <v>Abrir facsímil</v>
      </c>
      <c r="K1790" s="15" t="s">
        <v>23</v>
      </c>
    </row>
    <row r="1791" spans="1:11" ht="42" customHeight="1">
      <c r="A1791" s="4" t="s">
        <v>4663</v>
      </c>
      <c r="B1791" s="5" t="s">
        <v>4663</v>
      </c>
      <c r="C1791" s="5" t="s">
        <v>46</v>
      </c>
      <c r="D1791" s="5" t="s">
        <v>19</v>
      </c>
      <c r="E1791" s="5" t="s">
        <v>152</v>
      </c>
      <c r="F1791" s="9">
        <v>16</v>
      </c>
      <c r="G1791" s="9">
        <v>168</v>
      </c>
      <c r="H1791" s="5" t="s">
        <v>21</v>
      </c>
      <c r="I1791" s="5" t="s">
        <v>4664</v>
      </c>
      <c r="J1791" s="12" t="str">
        <f>HYPERLINK("https://www.boe.es/gazeta/dias/1803/02/25/pdfs/GMD-1803-16.pdf#page=8","Abrir facsímil")</f>
        <v>Abrir facsímil</v>
      </c>
      <c r="K1791" s="15" t="s">
        <v>23</v>
      </c>
    </row>
    <row r="1792" spans="1:11" ht="42" customHeight="1">
      <c r="A1792" s="4" t="s">
        <v>4665</v>
      </c>
      <c r="B1792" s="5" t="s">
        <v>4666</v>
      </c>
      <c r="C1792" s="5" t="s">
        <v>26</v>
      </c>
      <c r="D1792" s="5" t="s">
        <v>27</v>
      </c>
      <c r="E1792" s="5" t="s">
        <v>263</v>
      </c>
      <c r="F1792" s="9">
        <v>75</v>
      </c>
      <c r="G1792" s="9">
        <v>811</v>
      </c>
      <c r="H1792" s="5" t="s">
        <v>21</v>
      </c>
      <c r="I1792" s="5" t="s">
        <v>4667</v>
      </c>
      <c r="J1792" s="12" t="str">
        <f>HYPERLINK("https://www.boe.es/gazeta/dias/1803/09/16/pdfs/GMD-1803-75.pdf#page=7","Abrir facsímil")</f>
        <v>Abrir facsímil</v>
      </c>
      <c r="K1792" s="15" t="s">
        <v>23</v>
      </c>
    </row>
    <row r="1793" spans="1:11" ht="42" customHeight="1">
      <c r="A1793" s="4" t="s">
        <v>4668</v>
      </c>
      <c r="B1793" s="5" t="s">
        <v>4668</v>
      </c>
      <c r="C1793" s="5" t="s">
        <v>18</v>
      </c>
      <c r="D1793" s="5" t="s">
        <v>19</v>
      </c>
      <c r="E1793" s="5" t="s">
        <v>203</v>
      </c>
      <c r="F1793" s="9">
        <v>32</v>
      </c>
      <c r="G1793" s="9">
        <v>336</v>
      </c>
      <c r="H1793" s="5" t="s">
        <v>21</v>
      </c>
      <c r="I1793" s="5" t="s">
        <v>4669</v>
      </c>
      <c r="J1793" s="12" t="str">
        <f>HYPERLINK("https://www.boe.es/gazeta/dias/1803/04/22/pdfs/GMD-1803-32.pdf#page=8","Abrir facsímil")</f>
        <v>Abrir facsímil</v>
      </c>
      <c r="K1793" s="15" t="s">
        <v>23</v>
      </c>
    </row>
    <row r="1794" spans="1:11" ht="42" customHeight="1">
      <c r="A1794" s="4" t="s">
        <v>4670</v>
      </c>
      <c r="B1794" s="5" t="s">
        <v>4671</v>
      </c>
      <c r="C1794" s="5" t="s">
        <v>26</v>
      </c>
      <c r="D1794" s="5" t="s">
        <v>27</v>
      </c>
      <c r="E1794" s="5" t="s">
        <v>501</v>
      </c>
      <c r="F1794" s="9">
        <v>22</v>
      </c>
      <c r="G1794" s="9">
        <v>237</v>
      </c>
      <c r="H1794" s="5" t="s">
        <v>21</v>
      </c>
      <c r="I1794" s="5" t="s">
        <v>4672</v>
      </c>
      <c r="J1794" s="12" t="str">
        <f>HYPERLINK("https://www.boe.es/gazeta/dias/1803/03/18/pdfs/GMD-1803-22.pdf#page=9","Abrir facsímil")</f>
        <v>Abrir facsímil</v>
      </c>
      <c r="K1794" s="15" t="s">
        <v>23</v>
      </c>
    </row>
    <row r="1795" spans="1:11" ht="42" customHeight="1">
      <c r="A1795" s="4" t="s">
        <v>4673</v>
      </c>
      <c r="B1795" s="5" t="s">
        <v>4673</v>
      </c>
      <c r="C1795" s="5" t="s">
        <v>18</v>
      </c>
      <c r="D1795" s="5" t="s">
        <v>19</v>
      </c>
      <c r="E1795" s="5" t="s">
        <v>148</v>
      </c>
      <c r="F1795" s="9">
        <v>15</v>
      </c>
      <c r="G1795" s="9">
        <v>156</v>
      </c>
      <c r="H1795" s="5" t="s">
        <v>21</v>
      </c>
      <c r="I1795" s="5" t="s">
        <v>4674</v>
      </c>
      <c r="J1795" s="12" t="str">
        <f>HYPERLINK("https://www.boe.es/gazeta/dias/1803/02/22/pdfs/GMD-1803-15.pdf#page=8","Abrir facsímil")</f>
        <v>Abrir facsímil</v>
      </c>
      <c r="K1795" s="15" t="s">
        <v>23</v>
      </c>
    </row>
    <row r="1796" spans="1:11" ht="42" customHeight="1">
      <c r="A1796" s="4" t="s">
        <v>4673</v>
      </c>
      <c r="B1796" s="5" t="s">
        <v>4673</v>
      </c>
      <c r="C1796" s="5" t="s">
        <v>26</v>
      </c>
      <c r="D1796" s="5" t="s">
        <v>27</v>
      </c>
      <c r="E1796" s="5" t="s">
        <v>407</v>
      </c>
      <c r="F1796" s="9">
        <v>82</v>
      </c>
      <c r="G1796" s="9">
        <v>885</v>
      </c>
      <c r="H1796" s="5" t="s">
        <v>21</v>
      </c>
      <c r="I1796" s="5" t="s">
        <v>4675</v>
      </c>
      <c r="J1796" s="12" t="str">
        <f>HYPERLINK("https://www.boe.es/gazeta/dias/1803/10/11/pdfs/GMD-1803-82.pdf#page=9","Abrir facsímil")</f>
        <v>Abrir facsímil</v>
      </c>
      <c r="K1796" s="15" t="s">
        <v>23</v>
      </c>
    </row>
    <row r="1797" spans="1:11" ht="42" customHeight="1">
      <c r="A1797" s="4" t="s">
        <v>4676</v>
      </c>
      <c r="B1797" s="5" t="s">
        <v>4677</v>
      </c>
      <c r="C1797" s="5" t="s">
        <v>40</v>
      </c>
      <c r="D1797" s="5" t="s">
        <v>41</v>
      </c>
      <c r="E1797" s="5" t="s">
        <v>293</v>
      </c>
      <c r="F1797" s="9">
        <v>45</v>
      </c>
      <c r="G1797" s="9">
        <v>467</v>
      </c>
      <c r="H1797" s="5" t="s">
        <v>21</v>
      </c>
      <c r="I1797" s="5" t="s">
        <v>4678</v>
      </c>
      <c r="J1797" s="12" t="str">
        <f>HYPERLINK("https://www.boe.es/gazeta/dias/1803/06/07/pdfs/GMD-1803-45.pdf#page=3","Abrir facsímil")</f>
        <v>Abrir facsímil</v>
      </c>
      <c r="K1797" s="15" t="s">
        <v>23</v>
      </c>
    </row>
    <row r="1798" spans="1:11" ht="42" customHeight="1">
      <c r="A1798" s="4" t="s">
        <v>4679</v>
      </c>
      <c r="B1798" s="5" t="s">
        <v>4680</v>
      </c>
      <c r="C1798" s="5" t="s">
        <v>51</v>
      </c>
      <c r="D1798" s="5" t="s">
        <v>52</v>
      </c>
      <c r="E1798" s="5" t="s">
        <v>477</v>
      </c>
      <c r="F1798" s="9">
        <v>48</v>
      </c>
      <c r="G1798" s="9">
        <v>510</v>
      </c>
      <c r="H1798" s="5" t="s">
        <v>21</v>
      </c>
      <c r="I1798" s="5" t="s">
        <v>4681</v>
      </c>
      <c r="J1798" s="12" t="str">
        <f>HYPERLINK("https://www.boe.es/gazeta/dias/1803/06/17/pdfs/GMD-1803-48.pdf#page=10","Abrir facsímil")</f>
        <v>Abrir facsímil</v>
      </c>
      <c r="K1798" s="15" t="s">
        <v>23</v>
      </c>
    </row>
    <row r="1799" spans="1:11" ht="42" customHeight="1">
      <c r="A1799" s="4" t="s">
        <v>4682</v>
      </c>
      <c r="B1799" s="5" t="s">
        <v>4683</v>
      </c>
      <c r="C1799" s="5" t="s">
        <v>26</v>
      </c>
      <c r="D1799" s="5" t="s">
        <v>27</v>
      </c>
      <c r="E1799" s="5" t="s">
        <v>395</v>
      </c>
      <c r="F1799" s="9">
        <v>13</v>
      </c>
      <c r="G1799" s="9">
        <v>134</v>
      </c>
      <c r="H1799" s="5" t="s">
        <v>21</v>
      </c>
      <c r="I1799" s="5" t="s">
        <v>4684</v>
      </c>
      <c r="J1799" s="12" t="str">
        <f>HYPERLINK("https://www.boe.es/gazeta/dias/1803/02/15/pdfs/GMD-1803-13.pdf#page=10","Abrir facsímil")</f>
        <v>Abrir facsímil</v>
      </c>
      <c r="K1799" s="15" t="s">
        <v>23</v>
      </c>
    </row>
    <row r="1800" spans="1:11" ht="42" customHeight="1">
      <c r="A1800" s="4" t="s">
        <v>4685</v>
      </c>
      <c r="B1800" s="5" t="s">
        <v>4686</v>
      </c>
      <c r="C1800" s="5" t="s">
        <v>51</v>
      </c>
      <c r="D1800" s="5" t="s">
        <v>52</v>
      </c>
      <c r="E1800" s="5" t="s">
        <v>128</v>
      </c>
      <c r="F1800" s="9">
        <v>80</v>
      </c>
      <c r="G1800" s="9">
        <v>864</v>
      </c>
      <c r="H1800" s="5" t="s">
        <v>21</v>
      </c>
      <c r="I1800" s="5" t="s">
        <v>4687</v>
      </c>
      <c r="J1800" s="12" t="str">
        <f>HYPERLINK("https://www.boe.es/gazeta/dias/1803/10/04/pdfs/GMD-1803-80.pdf#page=8","Abrir facsímil")</f>
        <v>Abrir facsímil</v>
      </c>
      <c r="K1800" s="15" t="s">
        <v>23</v>
      </c>
    </row>
    <row r="1801" spans="1:11" ht="42" customHeight="1">
      <c r="A1801" s="4" t="s">
        <v>4688</v>
      </c>
      <c r="B1801" s="5" t="s">
        <v>4689</v>
      </c>
      <c r="C1801" s="5" t="s">
        <v>26</v>
      </c>
      <c r="D1801" s="5" t="s">
        <v>27</v>
      </c>
      <c r="E1801" s="5" t="s">
        <v>514</v>
      </c>
      <c r="F1801" s="9">
        <v>42</v>
      </c>
      <c r="G1801" s="9">
        <v>440</v>
      </c>
      <c r="H1801" s="5" t="s">
        <v>21</v>
      </c>
      <c r="I1801" s="5" t="s">
        <v>4690</v>
      </c>
      <c r="J1801" s="12" t="str">
        <f>HYPERLINK("https://www.boe.es/gazeta/dias/1803/05/27/pdfs/GMD-1803-42.pdf#page=8","Abrir facsímil")</f>
        <v>Abrir facsímil</v>
      </c>
      <c r="K1801" s="15" t="s">
        <v>23</v>
      </c>
    </row>
    <row r="1802" spans="1:11" ht="42" customHeight="1">
      <c r="A1802" s="4" t="s">
        <v>4691</v>
      </c>
      <c r="B1802" s="5" t="s">
        <v>4692</v>
      </c>
      <c r="C1802" s="5" t="s">
        <v>26</v>
      </c>
      <c r="D1802" s="5" t="s">
        <v>27</v>
      </c>
      <c r="E1802" s="5" t="s">
        <v>75</v>
      </c>
      <c r="F1802" s="9">
        <v>56</v>
      </c>
      <c r="G1802" s="9">
        <v>611</v>
      </c>
      <c r="H1802" s="5" t="s">
        <v>21</v>
      </c>
      <c r="I1802" s="5" t="s">
        <v>4693</v>
      </c>
      <c r="J1802" s="12" t="str">
        <f>HYPERLINK("https://www.boe.es/gazeta/dias/1803/07/15/pdfs/GMD-1803-56.pdf#page=7","Abrir facsímil")</f>
        <v>Abrir facsímil</v>
      </c>
      <c r="K1802" s="15" t="s">
        <v>23</v>
      </c>
    </row>
    <row r="1803" spans="1:11" ht="42" customHeight="1">
      <c r="A1803" s="4" t="s">
        <v>4694</v>
      </c>
      <c r="B1803" s="5" t="s">
        <v>4695</v>
      </c>
      <c r="C1803" s="5" t="s">
        <v>46</v>
      </c>
      <c r="D1803" s="5" t="s">
        <v>19</v>
      </c>
      <c r="E1803" s="5" t="s">
        <v>156</v>
      </c>
      <c r="F1803" s="9">
        <v>2</v>
      </c>
      <c r="G1803" s="9">
        <v>18</v>
      </c>
      <c r="H1803" s="5" t="s">
        <v>21</v>
      </c>
      <c r="I1803" s="5" t="s">
        <v>4696</v>
      </c>
      <c r="J1803" s="12" t="str">
        <f>HYPERLINK("https://www.boe.es/gazeta/dias/1803/01/07/pdfs/GMD-1803-2.pdf#page=10","Abrir facsímil")</f>
        <v>Abrir facsímil</v>
      </c>
      <c r="K1803" s="15" t="s">
        <v>23</v>
      </c>
    </row>
    <row r="1804" spans="1:11" ht="42" customHeight="1">
      <c r="A1804" s="4" t="s">
        <v>4694</v>
      </c>
      <c r="B1804" s="5" t="s">
        <v>4695</v>
      </c>
      <c r="C1804" s="5" t="s">
        <v>46</v>
      </c>
      <c r="D1804" s="5" t="s">
        <v>19</v>
      </c>
      <c r="E1804" s="5" t="s">
        <v>57</v>
      </c>
      <c r="F1804" s="9">
        <v>51</v>
      </c>
      <c r="G1804" s="9">
        <v>555</v>
      </c>
      <c r="H1804" s="5" t="s">
        <v>21</v>
      </c>
      <c r="I1804" s="5" t="s">
        <v>4697</v>
      </c>
      <c r="J1804" s="12" t="str">
        <f>HYPERLINK("https://www.boe.es/gazeta/dias/1803/06/28/pdfs/GMD-1803-51.pdf#page=11","Abrir facsímil")</f>
        <v>Abrir facsímil</v>
      </c>
      <c r="K1804" s="15" t="s">
        <v>23</v>
      </c>
    </row>
    <row r="1805" spans="1:11" ht="42" customHeight="1">
      <c r="A1805" s="4" t="s">
        <v>4694</v>
      </c>
      <c r="B1805" s="5" t="s">
        <v>4695</v>
      </c>
      <c r="C1805" s="5" t="s">
        <v>80</v>
      </c>
      <c r="D1805" s="5" t="s">
        <v>81</v>
      </c>
      <c r="E1805" s="5" t="s">
        <v>160</v>
      </c>
      <c r="F1805" s="9">
        <v>81</v>
      </c>
      <c r="G1805" s="9">
        <v>874</v>
      </c>
      <c r="H1805" s="5" t="s">
        <v>21</v>
      </c>
      <c r="I1805" s="5" t="s">
        <v>4698</v>
      </c>
      <c r="J1805" s="12" t="str">
        <f>HYPERLINK("https://www.boe.es/gazeta/dias/1803/10/07/pdfs/GMD-1803-81.pdf#page=10","Abrir facsímil")</f>
        <v>Abrir facsímil</v>
      </c>
      <c r="K1805" s="15" t="s">
        <v>23</v>
      </c>
    </row>
    <row r="1806" spans="1:11" ht="42" customHeight="1">
      <c r="A1806" s="4" t="s">
        <v>4699</v>
      </c>
      <c r="B1806" s="5" t="s">
        <v>4700</v>
      </c>
      <c r="C1806" s="5" t="s">
        <v>80</v>
      </c>
      <c r="D1806" s="5" t="s">
        <v>81</v>
      </c>
      <c r="E1806" s="5" t="s">
        <v>218</v>
      </c>
      <c r="F1806" s="9">
        <v>19</v>
      </c>
      <c r="G1806" s="9">
        <v>203</v>
      </c>
      <c r="H1806" s="5" t="s">
        <v>21</v>
      </c>
      <c r="I1806" s="5" t="s">
        <v>4701</v>
      </c>
      <c r="J1806" s="12" t="str">
        <f>HYPERLINK("https://www.boe.es/gazeta/dias/1803/03/08/pdfs/GMD-1803-19.pdf#page=11","Abrir facsímil")</f>
        <v>Abrir facsímil</v>
      </c>
      <c r="K1806" s="15" t="s">
        <v>23</v>
      </c>
    </row>
    <row r="1807" spans="1:11" ht="42" customHeight="1">
      <c r="A1807" s="4" t="s">
        <v>4699</v>
      </c>
      <c r="B1807" s="5" t="s">
        <v>4700</v>
      </c>
      <c r="C1807" s="5" t="s">
        <v>46</v>
      </c>
      <c r="D1807" s="5" t="s">
        <v>19</v>
      </c>
      <c r="E1807" s="5" t="s">
        <v>68</v>
      </c>
      <c r="F1807" s="9">
        <v>23</v>
      </c>
      <c r="G1807" s="9">
        <v>247</v>
      </c>
      <c r="H1807" s="5" t="s">
        <v>21</v>
      </c>
      <c r="I1807" s="5" t="s">
        <v>4702</v>
      </c>
      <c r="J1807" s="12" t="str">
        <f>HYPERLINK("https://www.boe.es/gazeta/dias/1803/03/22/pdfs/GMD-1803-23.pdf#page=7","Abrir facsímil")</f>
        <v>Abrir facsímil</v>
      </c>
      <c r="K1807" s="15" t="s">
        <v>23</v>
      </c>
    </row>
    <row r="1808" spans="1:11" ht="42" customHeight="1">
      <c r="A1808" s="4" t="s">
        <v>4699</v>
      </c>
      <c r="B1808" s="5" t="s">
        <v>4700</v>
      </c>
      <c r="C1808" s="5" t="s">
        <v>46</v>
      </c>
      <c r="D1808" s="5" t="s">
        <v>19</v>
      </c>
      <c r="E1808" s="5" t="s">
        <v>309</v>
      </c>
      <c r="F1808" s="9">
        <v>37</v>
      </c>
      <c r="G1808" s="9">
        <v>384</v>
      </c>
      <c r="H1808" s="5" t="s">
        <v>21</v>
      </c>
      <c r="I1808" s="5" t="s">
        <v>4703</v>
      </c>
      <c r="J1808" s="12" t="str">
        <f>HYPERLINK("https://www.boe.es/gazeta/dias/1803/05/10/pdfs/GMD-1803-37.pdf#page=8","Abrir facsímil")</f>
        <v>Abrir facsímil</v>
      </c>
      <c r="K1808" s="15" t="s">
        <v>23</v>
      </c>
    </row>
    <row r="1809" spans="1:11" ht="42" customHeight="1">
      <c r="A1809" s="4" t="s">
        <v>4704</v>
      </c>
      <c r="B1809" s="5" t="s">
        <v>4705</v>
      </c>
      <c r="C1809" s="5" t="s">
        <v>18</v>
      </c>
      <c r="D1809" s="5" t="s">
        <v>19</v>
      </c>
      <c r="E1809" s="5" t="s">
        <v>218</v>
      </c>
      <c r="F1809" s="9">
        <v>19</v>
      </c>
      <c r="G1809" s="9">
        <v>202</v>
      </c>
      <c r="H1809" s="5" t="s">
        <v>21</v>
      </c>
      <c r="I1809" s="5" t="s">
        <v>4706</v>
      </c>
      <c r="J1809" s="12" t="str">
        <f>HYPERLINK("https://www.boe.es/gazeta/dias/1803/03/08/pdfs/GMD-1803-19.pdf#page=10","Abrir facsímil")</f>
        <v>Abrir facsímil</v>
      </c>
      <c r="K1809" s="15" t="s">
        <v>23</v>
      </c>
    </row>
    <row r="1810" spans="1:11" ht="42" customHeight="1">
      <c r="A1810" s="4" t="s">
        <v>4707</v>
      </c>
      <c r="B1810" s="5" t="s">
        <v>4708</v>
      </c>
      <c r="C1810" s="5" t="s">
        <v>26</v>
      </c>
      <c r="D1810" s="5" t="s">
        <v>27</v>
      </c>
      <c r="E1810" s="5" t="s">
        <v>68</v>
      </c>
      <c r="F1810" s="9">
        <v>23</v>
      </c>
      <c r="G1810" s="9">
        <v>246</v>
      </c>
      <c r="H1810" s="5" t="s">
        <v>21</v>
      </c>
      <c r="I1810" s="5" t="s">
        <v>4709</v>
      </c>
      <c r="J1810" s="12" t="str">
        <f>HYPERLINK("https://www.boe.es/gazeta/dias/1803/03/22/pdfs/GMD-1803-23.pdf#page=6","Abrir facsímil")</f>
        <v>Abrir facsímil</v>
      </c>
      <c r="K1810" s="15" t="s">
        <v>23</v>
      </c>
    </row>
    <row r="1811" spans="1:11" ht="42" customHeight="1">
      <c r="A1811" s="4" t="s">
        <v>4710</v>
      </c>
      <c r="B1811" s="5" t="s">
        <v>4711</v>
      </c>
      <c r="C1811" s="5" t="s">
        <v>26</v>
      </c>
      <c r="D1811" s="5" t="s">
        <v>27</v>
      </c>
      <c r="E1811" s="5" t="s">
        <v>61</v>
      </c>
      <c r="F1811" s="9">
        <v>67</v>
      </c>
      <c r="G1811" s="9">
        <v>730</v>
      </c>
      <c r="H1811" s="5" t="s">
        <v>21</v>
      </c>
      <c r="I1811" s="5" t="s">
        <v>4712</v>
      </c>
      <c r="J1811" s="12" t="str">
        <f>HYPERLINK("https://www.boe.es/gazeta/dias/1803/08/23/pdfs/GMD-1803-67.pdf#page=10","Abrir facsímil")</f>
        <v>Abrir facsímil</v>
      </c>
      <c r="K1811" s="15" t="s">
        <v>23</v>
      </c>
    </row>
    <row r="1812" spans="1:11" ht="42" customHeight="1">
      <c r="A1812" s="4" t="s">
        <v>4713</v>
      </c>
      <c r="B1812" s="5" t="s">
        <v>4714</v>
      </c>
      <c r="C1812" s="5" t="s">
        <v>18</v>
      </c>
      <c r="D1812" s="5" t="s">
        <v>19</v>
      </c>
      <c r="E1812" s="5" t="s">
        <v>293</v>
      </c>
      <c r="F1812" s="9">
        <v>45</v>
      </c>
      <c r="G1812" s="9">
        <v>475</v>
      </c>
      <c r="H1812" s="5" t="s">
        <v>21</v>
      </c>
      <c r="I1812" s="5" t="s">
        <v>4715</v>
      </c>
      <c r="J1812" s="12" t="str">
        <f>HYPERLINK("https://www.boe.es/gazeta/dias/1803/06/07/pdfs/GMD-1803-45.pdf#page=11","Abrir facsímil")</f>
        <v>Abrir facsímil</v>
      </c>
      <c r="K1812" s="15" t="s">
        <v>23</v>
      </c>
    </row>
    <row r="1813" spans="1:11" ht="42" customHeight="1">
      <c r="A1813" s="4" t="s">
        <v>4713</v>
      </c>
      <c r="B1813" s="5" t="s">
        <v>4714</v>
      </c>
      <c r="C1813" s="5" t="s">
        <v>80</v>
      </c>
      <c r="D1813" s="5" t="s">
        <v>81</v>
      </c>
      <c r="E1813" s="5" t="s">
        <v>391</v>
      </c>
      <c r="F1813" s="9">
        <v>61</v>
      </c>
      <c r="G1813" s="9">
        <v>668</v>
      </c>
      <c r="H1813" s="5" t="s">
        <v>21</v>
      </c>
      <c r="I1813" s="5" t="s">
        <v>4716</v>
      </c>
      <c r="J1813" s="12" t="str">
        <f>HYPERLINK("https://www.boe.es/gazeta/dias/1803/08/02/pdfs/GMD-1803-61.pdf#page=8","Abrir facsímil")</f>
        <v>Abrir facsímil</v>
      </c>
      <c r="K1813" s="15" t="s">
        <v>23</v>
      </c>
    </row>
    <row r="1814" spans="1:11" ht="42" customHeight="1">
      <c r="A1814" s="4" t="s">
        <v>4717</v>
      </c>
      <c r="B1814" s="5" t="s">
        <v>4718</v>
      </c>
      <c r="C1814" s="5" t="s">
        <v>26</v>
      </c>
      <c r="D1814" s="5" t="s">
        <v>27</v>
      </c>
      <c r="E1814" s="5" t="s">
        <v>32</v>
      </c>
      <c r="F1814" s="9">
        <v>74</v>
      </c>
      <c r="G1814" s="9">
        <v>803</v>
      </c>
      <c r="H1814" s="5" t="s">
        <v>21</v>
      </c>
      <c r="I1814" s="5" t="s">
        <v>4719</v>
      </c>
      <c r="J1814" s="12" t="str">
        <f>HYPERLINK("https://www.boe.es/gazeta/dias/1803/09/13/pdfs/GMD-1803-74.pdf#page=7","Abrir facsímil")</f>
        <v>Abrir facsímil</v>
      </c>
      <c r="K1814" s="15" t="s">
        <v>23</v>
      </c>
    </row>
    <row r="1815" spans="1:11" ht="42" customHeight="1">
      <c r="A1815" s="4" t="s">
        <v>4720</v>
      </c>
      <c r="B1815" s="5" t="s">
        <v>4721</v>
      </c>
      <c r="C1815" s="5" t="s">
        <v>26</v>
      </c>
      <c r="D1815" s="5" t="s">
        <v>27</v>
      </c>
      <c r="E1815" s="5" t="s">
        <v>321</v>
      </c>
      <c r="F1815" s="9">
        <v>94</v>
      </c>
      <c r="G1815" s="9">
        <v>1010</v>
      </c>
      <c r="H1815" s="5" t="s">
        <v>21</v>
      </c>
      <c r="I1815" s="5" t="s">
        <v>4722</v>
      </c>
      <c r="J1815" s="12" t="str">
        <f>HYPERLINK("https://www.boe.es/gazeta/dias/1803/11/22/pdfs/GMD-1803-94.pdf#page=10","Abrir facsímil")</f>
        <v>Abrir facsímil</v>
      </c>
      <c r="K1815" s="15" t="s">
        <v>23</v>
      </c>
    </row>
    <row r="1816" spans="1:11" ht="42" customHeight="1">
      <c r="A1816" s="4" t="s">
        <v>4723</v>
      </c>
      <c r="B1816" s="5" t="s">
        <v>4724</v>
      </c>
      <c r="C1816" s="5" t="s">
        <v>51</v>
      </c>
      <c r="D1816" s="5" t="s">
        <v>52</v>
      </c>
      <c r="E1816" s="5" t="s">
        <v>784</v>
      </c>
      <c r="F1816" s="9">
        <v>86</v>
      </c>
      <c r="G1816" s="9">
        <v>930</v>
      </c>
      <c r="H1816" s="5" t="s">
        <v>21</v>
      </c>
      <c r="I1816" s="5" t="s">
        <v>4725</v>
      </c>
      <c r="J1816" s="12" t="str">
        <f>HYPERLINK("https://www.boe.es/gazeta/dias/1803/10/25/pdfs/GMD-1803-86.pdf#page=10","Abrir facsímil")</f>
        <v>Abrir facsímil</v>
      </c>
      <c r="K1816" s="15" t="s">
        <v>23</v>
      </c>
    </row>
    <row r="1817" spans="1:11" ht="42" customHeight="1">
      <c r="A1817" s="4" t="s">
        <v>4726</v>
      </c>
      <c r="B1817" s="5" t="s">
        <v>4727</v>
      </c>
      <c r="C1817" s="5" t="s">
        <v>26</v>
      </c>
      <c r="D1817" s="5" t="s">
        <v>27</v>
      </c>
      <c r="E1817" s="5" t="s">
        <v>93</v>
      </c>
      <c r="F1817" s="9">
        <v>43</v>
      </c>
      <c r="G1817" s="9">
        <v>451</v>
      </c>
      <c r="H1817" s="5" t="s">
        <v>21</v>
      </c>
      <c r="I1817" s="5" t="s">
        <v>4728</v>
      </c>
      <c r="J1817" s="12" t="str">
        <f>HYPERLINK("https://www.boe.es/gazeta/dias/1803/05/31/pdfs/GMD-1803-43.pdf#page=11","Abrir facsímil")</f>
        <v>Abrir facsímil</v>
      </c>
      <c r="K1817" s="15" t="s">
        <v>23</v>
      </c>
    </row>
    <row r="1818" spans="1:11" ht="42" customHeight="1">
      <c r="A1818" s="4" t="s">
        <v>4729</v>
      </c>
      <c r="B1818" s="5" t="s">
        <v>4730</v>
      </c>
      <c r="C1818" s="5" t="s">
        <v>51</v>
      </c>
      <c r="D1818" s="5" t="s">
        <v>52</v>
      </c>
      <c r="E1818" s="5" t="s">
        <v>317</v>
      </c>
      <c r="F1818" s="9">
        <v>12</v>
      </c>
      <c r="G1818" s="9">
        <v>121</v>
      </c>
      <c r="H1818" s="5" t="s">
        <v>21</v>
      </c>
      <c r="I1818" s="5" t="s">
        <v>4731</v>
      </c>
      <c r="J1818" s="12" t="str">
        <f>HYPERLINK("https://www.boe.es/gazeta/dias/1803/02/11/pdfs/GMD-1803-12.pdf#page=9","Abrir facsímil")</f>
        <v>Abrir facsímil</v>
      </c>
      <c r="K1818" s="15" t="s">
        <v>23</v>
      </c>
    </row>
    <row r="1819" spans="1:11" ht="42" customHeight="1">
      <c r="A1819" s="4" t="s">
        <v>4732</v>
      </c>
      <c r="B1819" s="5" t="s">
        <v>4733</v>
      </c>
      <c r="C1819" s="5" t="s">
        <v>26</v>
      </c>
      <c r="D1819" s="5" t="s">
        <v>27</v>
      </c>
      <c r="E1819" s="5" t="s">
        <v>519</v>
      </c>
      <c r="F1819" s="9">
        <v>50</v>
      </c>
      <c r="G1819" s="9">
        <v>541</v>
      </c>
      <c r="H1819" s="5" t="s">
        <v>21</v>
      </c>
      <c r="I1819" s="5" t="s">
        <v>4734</v>
      </c>
      <c r="J1819" s="12" t="str">
        <f>HYPERLINK("https://www.boe.es/gazeta/dias/1803/06/24/pdfs/GMD-1803-50.pdf#page=9","Abrir facsímil")</f>
        <v>Abrir facsímil</v>
      </c>
      <c r="K1819" s="15" t="s">
        <v>23</v>
      </c>
    </row>
    <row r="1820" spans="1:11" ht="42" customHeight="1">
      <c r="A1820" s="4" t="s">
        <v>4732</v>
      </c>
      <c r="B1820" s="5" t="s">
        <v>4733</v>
      </c>
      <c r="C1820" s="5" t="s">
        <v>46</v>
      </c>
      <c r="D1820" s="5" t="s">
        <v>19</v>
      </c>
      <c r="E1820" s="5" t="s">
        <v>75</v>
      </c>
      <c r="F1820" s="9">
        <v>56</v>
      </c>
      <c r="G1820" s="9">
        <v>612</v>
      </c>
      <c r="H1820" s="5" t="s">
        <v>21</v>
      </c>
      <c r="I1820" s="5" t="s">
        <v>4735</v>
      </c>
      <c r="J1820" s="12" t="str">
        <f>HYPERLINK("https://www.boe.es/gazeta/dias/1803/07/15/pdfs/GMD-1803-56.pdf#page=8","Abrir facsímil")</f>
        <v>Abrir facsímil</v>
      </c>
      <c r="K1820" s="15" t="s">
        <v>23</v>
      </c>
    </row>
    <row r="1821" spans="1:11" ht="42" customHeight="1">
      <c r="A1821" s="4" t="s">
        <v>4732</v>
      </c>
      <c r="B1821" s="5" t="s">
        <v>4733</v>
      </c>
      <c r="C1821" s="5" t="s">
        <v>26</v>
      </c>
      <c r="D1821" s="5" t="s">
        <v>27</v>
      </c>
      <c r="E1821" s="5" t="s">
        <v>261</v>
      </c>
      <c r="F1821" s="9">
        <v>70</v>
      </c>
      <c r="G1821" s="9">
        <v>768</v>
      </c>
      <c r="H1821" s="5" t="s">
        <v>21</v>
      </c>
      <c r="I1821" s="5" t="s">
        <v>4736</v>
      </c>
      <c r="J1821" s="12" t="str">
        <f>HYPERLINK("https://www.boe.es/gazeta/dias/1803/09/02/pdfs/GMD-1803-70.pdf#page=8","Abrir facsímil")</f>
        <v>Abrir facsímil</v>
      </c>
      <c r="K1821" s="15" t="s">
        <v>23</v>
      </c>
    </row>
    <row r="1822" spans="1:11" ht="42" customHeight="1">
      <c r="A1822" s="4" t="s">
        <v>4732</v>
      </c>
      <c r="B1822" s="5" t="s">
        <v>4733</v>
      </c>
      <c r="C1822" s="5" t="s">
        <v>26</v>
      </c>
      <c r="D1822" s="5" t="s">
        <v>27</v>
      </c>
      <c r="E1822" s="5" t="s">
        <v>160</v>
      </c>
      <c r="F1822" s="9">
        <v>81</v>
      </c>
      <c r="G1822" s="9">
        <v>875</v>
      </c>
      <c r="H1822" s="5" t="s">
        <v>21</v>
      </c>
      <c r="I1822" s="5" t="s">
        <v>4737</v>
      </c>
      <c r="J1822" s="12" t="str">
        <f>HYPERLINK("https://www.boe.es/gazeta/dias/1803/10/07/pdfs/GMD-1803-81.pdf#page=11","Abrir facsímil")</f>
        <v>Abrir facsímil</v>
      </c>
      <c r="K1822" s="15" t="s">
        <v>23</v>
      </c>
    </row>
    <row r="1823" spans="1:11" ht="42" customHeight="1">
      <c r="A1823" s="4" t="s">
        <v>4732</v>
      </c>
      <c r="B1823" s="5" t="s">
        <v>4733</v>
      </c>
      <c r="C1823" s="5" t="s">
        <v>26</v>
      </c>
      <c r="D1823" s="5" t="s">
        <v>27</v>
      </c>
      <c r="E1823" s="5" t="s">
        <v>199</v>
      </c>
      <c r="F1823" s="9">
        <v>88</v>
      </c>
      <c r="G1823" s="9">
        <v>948</v>
      </c>
      <c r="H1823" s="5" t="s">
        <v>21</v>
      </c>
      <c r="I1823" s="5" t="s">
        <v>4738</v>
      </c>
      <c r="J1823" s="12" t="str">
        <f>HYPERLINK("https://www.boe.es/gazeta/dias/1803/11/01/pdfs/GMD-1803-88.pdf#page=8","Abrir facsímil")</f>
        <v>Abrir facsímil</v>
      </c>
      <c r="K1823" s="15" t="s">
        <v>23</v>
      </c>
    </row>
    <row r="1824" spans="1:11" ht="42" customHeight="1">
      <c r="A1824" s="4" t="s">
        <v>4732</v>
      </c>
      <c r="B1824" s="5" t="s">
        <v>4733</v>
      </c>
      <c r="C1824" s="5" t="s">
        <v>26</v>
      </c>
      <c r="D1824" s="5" t="s">
        <v>27</v>
      </c>
      <c r="E1824" s="5" t="s">
        <v>113</v>
      </c>
      <c r="F1824" s="9">
        <v>93</v>
      </c>
      <c r="G1824" s="9">
        <v>998</v>
      </c>
      <c r="H1824" s="5" t="s">
        <v>21</v>
      </c>
      <c r="I1824" s="5" t="s">
        <v>4739</v>
      </c>
      <c r="J1824" s="12" t="str">
        <f>HYPERLINK("https://www.boe.es/gazeta/dias/1803/11/18/pdfs/GMD-1803-93.pdf#page=10","Abrir facsímil")</f>
        <v>Abrir facsímil</v>
      </c>
      <c r="K1824" s="15" t="s">
        <v>23</v>
      </c>
    </row>
    <row r="1825" spans="1:11" ht="42" customHeight="1">
      <c r="A1825" s="4" t="s">
        <v>4740</v>
      </c>
      <c r="B1825" s="5" t="s">
        <v>4741</v>
      </c>
      <c r="C1825" s="5" t="s">
        <v>46</v>
      </c>
      <c r="D1825" s="5" t="s">
        <v>19</v>
      </c>
      <c r="E1825" s="5" t="s">
        <v>258</v>
      </c>
      <c r="F1825" s="9">
        <v>7</v>
      </c>
      <c r="G1825" s="9">
        <v>68</v>
      </c>
      <c r="H1825" s="5" t="s">
        <v>21</v>
      </c>
      <c r="I1825" s="5" t="s">
        <v>4742</v>
      </c>
      <c r="J1825" s="12" t="str">
        <f>HYPERLINK("https://www.boe.es/gazeta/dias/1803/01/25/pdfs/GMD-1803-7.pdf#page=8","Abrir facsímil")</f>
        <v>Abrir facsímil</v>
      </c>
      <c r="K1825" s="15" t="s">
        <v>23</v>
      </c>
    </row>
    <row r="1826" spans="1:11" ht="42" customHeight="1">
      <c r="A1826" s="4" t="s">
        <v>4743</v>
      </c>
      <c r="B1826" s="5" t="s">
        <v>4744</v>
      </c>
      <c r="C1826" s="5" t="s">
        <v>18</v>
      </c>
      <c r="D1826" s="5" t="s">
        <v>19</v>
      </c>
      <c r="E1826" s="5" t="s">
        <v>317</v>
      </c>
      <c r="F1826" s="9">
        <v>12</v>
      </c>
      <c r="G1826" s="9">
        <v>122</v>
      </c>
      <c r="H1826" s="5" t="s">
        <v>21</v>
      </c>
      <c r="I1826" s="5" t="s">
        <v>4745</v>
      </c>
      <c r="J1826" s="12" t="str">
        <f>HYPERLINK("https://www.boe.es/gazeta/dias/1803/02/11/pdfs/GMD-1803-12.pdf#page=10","Abrir facsímil")</f>
        <v>Abrir facsímil</v>
      </c>
      <c r="K1826" s="15" t="s">
        <v>23</v>
      </c>
    </row>
    <row r="1827" spans="1:11" ht="42" customHeight="1">
      <c r="A1827" s="4" t="s">
        <v>4746</v>
      </c>
      <c r="B1827" s="5" t="s">
        <v>4747</v>
      </c>
      <c r="C1827" s="5" t="s">
        <v>26</v>
      </c>
      <c r="D1827" s="5" t="s">
        <v>27</v>
      </c>
      <c r="E1827" s="5" t="s">
        <v>519</v>
      </c>
      <c r="F1827" s="9">
        <v>50</v>
      </c>
      <c r="G1827" s="9">
        <v>541</v>
      </c>
      <c r="H1827" s="5" t="s">
        <v>21</v>
      </c>
      <c r="I1827" s="5" t="s">
        <v>4748</v>
      </c>
      <c r="J1827" s="12" t="str">
        <f>HYPERLINK("https://www.boe.es/gazeta/dias/1803/06/24/pdfs/GMD-1803-50.pdf#page=9","Abrir facsímil")</f>
        <v>Abrir facsímil</v>
      </c>
      <c r="K1827" s="15" t="s">
        <v>23</v>
      </c>
    </row>
    <row r="1828" spans="1:11" ht="42" customHeight="1">
      <c r="A1828" s="4" t="s">
        <v>4749</v>
      </c>
      <c r="B1828" s="5" t="s">
        <v>4750</v>
      </c>
      <c r="C1828" s="5" t="s">
        <v>26</v>
      </c>
      <c r="D1828" s="5" t="s">
        <v>27</v>
      </c>
      <c r="E1828" s="5" t="s">
        <v>657</v>
      </c>
      <c r="F1828" s="9">
        <v>24</v>
      </c>
      <c r="G1828" s="9">
        <v>256</v>
      </c>
      <c r="H1828" s="5" t="s">
        <v>21</v>
      </c>
      <c r="I1828" s="5" t="s">
        <v>4751</v>
      </c>
      <c r="J1828" s="12" t="str">
        <f>HYPERLINK("https://www.boe.es/gazeta/dias/1803/03/25/pdfs/GMD-1803-24.pdf#page=8","Abrir facsímil")</f>
        <v>Abrir facsímil</v>
      </c>
      <c r="K1828" s="15" t="s">
        <v>23</v>
      </c>
    </row>
    <row r="1829" spans="1:11" ht="42" customHeight="1">
      <c r="A1829" s="4" t="s">
        <v>4752</v>
      </c>
      <c r="B1829" s="5" t="s">
        <v>4753</v>
      </c>
      <c r="C1829" s="5" t="s">
        <v>26</v>
      </c>
      <c r="D1829" s="5" t="s">
        <v>27</v>
      </c>
      <c r="E1829" s="5" t="s">
        <v>919</v>
      </c>
      <c r="F1829" s="9">
        <v>69</v>
      </c>
      <c r="G1829" s="9">
        <v>749</v>
      </c>
      <c r="H1829" s="5" t="s">
        <v>21</v>
      </c>
      <c r="I1829" s="5" t="s">
        <v>4754</v>
      </c>
      <c r="J1829" s="12" t="str">
        <f>HYPERLINK("https://www.boe.es/gazeta/dias/1803/08/30/pdfs/GMD-1803-69.pdf#page=5","Abrir facsímil")</f>
        <v>Abrir facsímil</v>
      </c>
      <c r="K1829" s="15" t="s">
        <v>23</v>
      </c>
    </row>
    <row r="1830" spans="1:11" ht="42" customHeight="1">
      <c r="A1830" s="4" t="s">
        <v>4752</v>
      </c>
      <c r="B1830" s="5" t="s">
        <v>4753</v>
      </c>
      <c r="C1830" s="5" t="s">
        <v>26</v>
      </c>
      <c r="D1830" s="5" t="s">
        <v>27</v>
      </c>
      <c r="E1830" s="5" t="s">
        <v>36</v>
      </c>
      <c r="F1830" s="9">
        <v>79</v>
      </c>
      <c r="G1830" s="9">
        <v>854</v>
      </c>
      <c r="H1830" s="5" t="s">
        <v>21</v>
      </c>
      <c r="I1830" s="5" t="s">
        <v>4755</v>
      </c>
      <c r="J1830" s="12" t="str">
        <f>HYPERLINK("https://www.boe.es/gazeta/dias/1803/09/30/pdfs/GMD-1803-79.pdf#page=6","Abrir facsímil")</f>
        <v>Abrir facsímil</v>
      </c>
      <c r="K1830" s="15" t="s">
        <v>23</v>
      </c>
    </row>
    <row r="1831" spans="1:11" ht="42" customHeight="1">
      <c r="A1831" s="4" t="s">
        <v>4756</v>
      </c>
      <c r="B1831" s="5" t="s">
        <v>4757</v>
      </c>
      <c r="C1831" s="5" t="s">
        <v>26</v>
      </c>
      <c r="D1831" s="5" t="s">
        <v>27</v>
      </c>
      <c r="E1831" s="5" t="s">
        <v>285</v>
      </c>
      <c r="F1831" s="9">
        <v>5</v>
      </c>
      <c r="G1831" s="9">
        <v>46</v>
      </c>
      <c r="H1831" s="5" t="s">
        <v>21</v>
      </c>
      <c r="I1831" s="5" t="s">
        <v>4758</v>
      </c>
      <c r="J1831" s="12" t="str">
        <f>HYPERLINK("https://www.boe.es/gazeta/dias/1803/01/18/pdfs/GMD-1803-5.pdf#page=10","Abrir facsímil")</f>
        <v>Abrir facsímil</v>
      </c>
      <c r="K1831" s="15" t="s">
        <v>23</v>
      </c>
    </row>
    <row r="1832" spans="1:11" ht="42" customHeight="1">
      <c r="A1832" s="4" t="s">
        <v>4756</v>
      </c>
      <c r="B1832" s="5" t="s">
        <v>4757</v>
      </c>
      <c r="C1832" s="5" t="s">
        <v>26</v>
      </c>
      <c r="D1832" s="5" t="s">
        <v>27</v>
      </c>
      <c r="E1832" s="5" t="s">
        <v>207</v>
      </c>
      <c r="F1832" s="9">
        <v>27</v>
      </c>
      <c r="G1832" s="9">
        <v>292</v>
      </c>
      <c r="H1832" s="5" t="s">
        <v>21</v>
      </c>
      <c r="I1832" s="5" t="s">
        <v>4759</v>
      </c>
      <c r="J1832" s="12" t="str">
        <f>HYPERLINK("https://www.boe.es/gazeta/dias/1803/04/05/pdfs/GMD-1803-27.pdf#page=8","Abrir facsímil")</f>
        <v>Abrir facsímil</v>
      </c>
      <c r="K1832" s="15" t="s">
        <v>23</v>
      </c>
    </row>
    <row r="1833" spans="1:11" ht="42" customHeight="1">
      <c r="A1833" s="4" t="s">
        <v>4756</v>
      </c>
      <c r="B1833" s="5" t="s">
        <v>4757</v>
      </c>
      <c r="C1833" s="5" t="s">
        <v>46</v>
      </c>
      <c r="D1833" s="5" t="s">
        <v>19</v>
      </c>
      <c r="E1833" s="5" t="s">
        <v>606</v>
      </c>
      <c r="F1833" s="9">
        <v>47</v>
      </c>
      <c r="G1833" s="9">
        <v>499</v>
      </c>
      <c r="H1833" s="5" t="s">
        <v>21</v>
      </c>
      <c r="I1833" s="5" t="s">
        <v>4760</v>
      </c>
      <c r="J1833" s="12" t="str">
        <f>HYPERLINK("https://www.boe.es/gazeta/dias/1803/06/14/pdfs/GMD-1803-47.pdf#page=11","Abrir facsímil")</f>
        <v>Abrir facsímil</v>
      </c>
      <c r="K1833" s="15" t="s">
        <v>23</v>
      </c>
    </row>
    <row r="1834" spans="1:11" ht="42" customHeight="1">
      <c r="A1834" s="4" t="s">
        <v>4761</v>
      </c>
      <c r="B1834" s="5" t="s">
        <v>4762</v>
      </c>
      <c r="C1834" s="5" t="s">
        <v>51</v>
      </c>
      <c r="D1834" s="5" t="s">
        <v>52</v>
      </c>
      <c r="E1834" s="5" t="s">
        <v>278</v>
      </c>
      <c r="F1834" s="9">
        <v>46</v>
      </c>
      <c r="G1834" s="9">
        <v>485</v>
      </c>
      <c r="H1834" s="5" t="s">
        <v>21</v>
      </c>
      <c r="I1834" s="5" t="s">
        <v>4763</v>
      </c>
      <c r="J1834" s="12" t="str">
        <f>HYPERLINK("https://www.boe.es/gazeta/dias/1803/06/10/pdfs/GMD-1803-46.pdf#page=9","Abrir facsímil")</f>
        <v>Abrir facsímil</v>
      </c>
      <c r="K1834" s="15" t="s">
        <v>23</v>
      </c>
    </row>
    <row r="1835" spans="1:11" ht="42" customHeight="1">
      <c r="A1835" s="4" t="s">
        <v>4764</v>
      </c>
      <c r="B1835" s="5" t="s">
        <v>4765</v>
      </c>
      <c r="C1835" s="5" t="s">
        <v>26</v>
      </c>
      <c r="D1835" s="5" t="s">
        <v>27</v>
      </c>
      <c r="E1835" s="5" t="s">
        <v>207</v>
      </c>
      <c r="F1835" s="9">
        <v>27</v>
      </c>
      <c r="G1835" s="9">
        <v>292</v>
      </c>
      <c r="H1835" s="5" t="s">
        <v>21</v>
      </c>
      <c r="I1835" s="5" t="s">
        <v>4766</v>
      </c>
      <c r="J1835" s="12" t="str">
        <f>HYPERLINK("https://www.boe.es/gazeta/dias/1803/04/05/pdfs/GMD-1803-27.pdf#page=8","Abrir facsímil")</f>
        <v>Abrir facsímil</v>
      </c>
      <c r="K1835" s="15" t="s">
        <v>23</v>
      </c>
    </row>
    <row r="1836" spans="1:11" ht="42" customHeight="1">
      <c r="A1836" s="4" t="s">
        <v>4767</v>
      </c>
      <c r="B1836" s="5" t="s">
        <v>4768</v>
      </c>
      <c r="C1836" s="5" t="s">
        <v>26</v>
      </c>
      <c r="D1836" s="5" t="s">
        <v>27</v>
      </c>
      <c r="E1836" s="5" t="s">
        <v>321</v>
      </c>
      <c r="F1836" s="9">
        <v>94</v>
      </c>
      <c r="G1836" s="9">
        <v>1010</v>
      </c>
      <c r="H1836" s="5" t="s">
        <v>21</v>
      </c>
      <c r="I1836" s="5" t="s">
        <v>4769</v>
      </c>
      <c r="J1836" s="12" t="str">
        <f>HYPERLINK("https://www.boe.es/gazeta/dias/1803/11/22/pdfs/GMD-1803-94.pdf#page=10","Abrir facsímil")</f>
        <v>Abrir facsímil</v>
      </c>
      <c r="K1836" s="15" t="s">
        <v>23</v>
      </c>
    </row>
    <row r="1837" spans="1:11" ht="42" customHeight="1">
      <c r="A1837" s="4" t="s">
        <v>4770</v>
      </c>
      <c r="B1837" s="5" t="s">
        <v>4771</v>
      </c>
      <c r="C1837" s="5" t="s">
        <v>26</v>
      </c>
      <c r="D1837" s="5" t="s">
        <v>27</v>
      </c>
      <c r="E1837" s="5" t="s">
        <v>113</v>
      </c>
      <c r="F1837" s="9">
        <v>93</v>
      </c>
      <c r="G1837" s="9">
        <v>995</v>
      </c>
      <c r="H1837" s="5" t="s">
        <v>21</v>
      </c>
      <c r="I1837" s="5" t="s">
        <v>4772</v>
      </c>
      <c r="J1837" s="12" t="str">
        <f>HYPERLINK("https://www.boe.es/gazeta/dias/1803/11/18/pdfs/GMD-1803-93.pdf#page=7","Abrir facsímil")</f>
        <v>Abrir facsímil</v>
      </c>
      <c r="K1837" s="15" t="s">
        <v>23</v>
      </c>
    </row>
    <row r="1838" spans="1:11" ht="42" customHeight="1">
      <c r="A1838" s="4" t="s">
        <v>4773</v>
      </c>
      <c r="B1838" s="5" t="s">
        <v>4774</v>
      </c>
      <c r="C1838" s="5" t="s">
        <v>80</v>
      </c>
      <c r="D1838" s="5" t="s">
        <v>81</v>
      </c>
      <c r="E1838" s="5" t="s">
        <v>395</v>
      </c>
      <c r="F1838" s="9">
        <v>13</v>
      </c>
      <c r="G1838" s="9">
        <v>136</v>
      </c>
      <c r="H1838" s="5" t="s">
        <v>21</v>
      </c>
      <c r="I1838" s="5" t="s">
        <v>4775</v>
      </c>
      <c r="J1838" s="12" t="str">
        <f>HYPERLINK("https://www.boe.es/gazeta/dias/1803/02/15/pdfs/GMD-1803-13.pdf#page=12","Abrir facsímil")</f>
        <v>Abrir facsímil</v>
      </c>
      <c r="K1838" s="15" t="s">
        <v>23</v>
      </c>
    </row>
    <row r="1839" spans="1:11" ht="42" customHeight="1">
      <c r="A1839" s="4" t="s">
        <v>4773</v>
      </c>
      <c r="B1839" s="5" t="s">
        <v>4774</v>
      </c>
      <c r="C1839" s="5" t="s">
        <v>80</v>
      </c>
      <c r="D1839" s="5" t="s">
        <v>81</v>
      </c>
      <c r="E1839" s="5" t="s">
        <v>203</v>
      </c>
      <c r="F1839" s="9">
        <v>32</v>
      </c>
      <c r="G1839" s="9">
        <v>340</v>
      </c>
      <c r="H1839" s="5" t="s">
        <v>21</v>
      </c>
      <c r="I1839" s="5" t="s">
        <v>4776</v>
      </c>
      <c r="J1839" s="12" t="str">
        <f>HYPERLINK("https://www.boe.es/gazeta/dias/1803/04/22/pdfs/GMD-1803-32.pdf#page=12","Abrir facsímil")</f>
        <v>Abrir facsímil</v>
      </c>
      <c r="K1839" s="15" t="s">
        <v>23</v>
      </c>
    </row>
    <row r="1840" spans="1:11" ht="42" customHeight="1">
      <c r="A1840" s="4" t="s">
        <v>4773</v>
      </c>
      <c r="B1840" s="5" t="s">
        <v>4774</v>
      </c>
      <c r="C1840" s="5" t="s">
        <v>26</v>
      </c>
      <c r="D1840" s="5" t="s">
        <v>27</v>
      </c>
      <c r="E1840" s="5" t="s">
        <v>477</v>
      </c>
      <c r="F1840" s="9">
        <v>48</v>
      </c>
      <c r="G1840" s="9">
        <v>510</v>
      </c>
      <c r="H1840" s="5" t="s">
        <v>21</v>
      </c>
      <c r="I1840" s="5" t="s">
        <v>4777</v>
      </c>
      <c r="J1840" s="12" t="str">
        <f>HYPERLINK("https://www.boe.es/gazeta/dias/1803/06/17/pdfs/GMD-1803-48.pdf#page=10","Abrir facsímil")</f>
        <v>Abrir facsímil</v>
      </c>
      <c r="K1840" s="15" t="s">
        <v>23</v>
      </c>
    </row>
    <row r="1841" spans="1:11" ht="42" customHeight="1">
      <c r="A1841" s="4" t="s">
        <v>4773</v>
      </c>
      <c r="B1841" s="5" t="s">
        <v>4774</v>
      </c>
      <c r="C1841" s="5" t="s">
        <v>80</v>
      </c>
      <c r="D1841" s="5" t="s">
        <v>81</v>
      </c>
      <c r="E1841" s="5" t="s">
        <v>113</v>
      </c>
      <c r="F1841" s="9">
        <v>93</v>
      </c>
      <c r="G1841" s="9">
        <v>999</v>
      </c>
      <c r="H1841" s="5" t="s">
        <v>21</v>
      </c>
      <c r="I1841" s="5" t="s">
        <v>4778</v>
      </c>
      <c r="J1841" s="12" t="str">
        <f>HYPERLINK("https://www.boe.es/gazeta/dias/1803/11/18/pdfs/GMD-1803-93.pdf#page=11","Abrir facsímil")</f>
        <v>Abrir facsímil</v>
      </c>
      <c r="K1841" s="15" t="s">
        <v>23</v>
      </c>
    </row>
    <row r="1842" spans="1:11" ht="42" customHeight="1">
      <c r="A1842" s="4" t="s">
        <v>4779</v>
      </c>
      <c r="B1842" s="5" t="s">
        <v>4779</v>
      </c>
      <c r="C1842" s="5" t="s">
        <v>26</v>
      </c>
      <c r="D1842" s="5" t="s">
        <v>27</v>
      </c>
      <c r="E1842" s="5" t="s">
        <v>71</v>
      </c>
      <c r="F1842" s="9">
        <v>39</v>
      </c>
      <c r="G1842" s="9">
        <v>413</v>
      </c>
      <c r="H1842" s="5" t="s">
        <v>21</v>
      </c>
      <c r="I1842" s="5" t="s">
        <v>4780</v>
      </c>
      <c r="J1842" s="12" t="str">
        <f>HYPERLINK("https://www.boe.es/gazeta/dias/1803/05/17/pdfs/GMD-1803-39.pdf#page=9","Abrir facsímil")</f>
        <v>Abrir facsímil</v>
      </c>
      <c r="K1842" s="15" t="s">
        <v>23</v>
      </c>
    </row>
    <row r="1843" spans="1:11" ht="42" customHeight="1">
      <c r="A1843" s="4" t="s">
        <v>4781</v>
      </c>
      <c r="B1843" s="5" t="s">
        <v>4782</v>
      </c>
      <c r="C1843" s="5" t="s">
        <v>40</v>
      </c>
      <c r="D1843" s="5" t="s">
        <v>41</v>
      </c>
      <c r="E1843" s="5" t="s">
        <v>214</v>
      </c>
      <c r="F1843" s="9">
        <v>17</v>
      </c>
      <c r="G1843" s="9">
        <v>171</v>
      </c>
      <c r="H1843" s="5" t="s">
        <v>21</v>
      </c>
      <c r="I1843" s="5" t="s">
        <v>4783</v>
      </c>
      <c r="J1843" s="12" t="str">
        <f>HYPERLINK("https://www.boe.es/gazeta/dias/1803/03/01/pdfs/GMD-1803-17.pdf#page=3","Abrir facsímil")</f>
        <v>Abrir facsímil</v>
      </c>
      <c r="K1843" s="15" t="s">
        <v>23</v>
      </c>
    </row>
    <row r="1844" spans="1:11" ht="42" customHeight="1">
      <c r="A1844" s="4" t="s">
        <v>4781</v>
      </c>
      <c r="B1844" s="5" t="s">
        <v>4782</v>
      </c>
      <c r="C1844" s="5" t="s">
        <v>18</v>
      </c>
      <c r="D1844" s="5" t="s">
        <v>19</v>
      </c>
      <c r="E1844" s="5" t="s">
        <v>214</v>
      </c>
      <c r="F1844" s="9">
        <v>17</v>
      </c>
      <c r="G1844" s="9">
        <v>172</v>
      </c>
      <c r="H1844" s="5" t="s">
        <v>21</v>
      </c>
      <c r="I1844" s="5" t="s">
        <v>4784</v>
      </c>
      <c r="J1844" s="12" t="str">
        <f>HYPERLINK("https://www.boe.es/gazeta/dias/1803/03/01/pdfs/GMD-1803-17.pdf#page=4","Abrir facsímil")</f>
        <v>Abrir facsímil</v>
      </c>
      <c r="K1844" s="15" t="s">
        <v>23</v>
      </c>
    </row>
    <row r="1845" spans="1:11" ht="42" customHeight="1">
      <c r="A1845" s="4" t="s">
        <v>4781</v>
      </c>
      <c r="B1845" s="5" t="s">
        <v>4782</v>
      </c>
      <c r="C1845" s="5" t="s">
        <v>40</v>
      </c>
      <c r="D1845" s="5" t="s">
        <v>41</v>
      </c>
      <c r="E1845" s="5" t="s">
        <v>309</v>
      </c>
      <c r="F1845" s="9">
        <v>37</v>
      </c>
      <c r="G1845" s="9">
        <v>380</v>
      </c>
      <c r="H1845" s="5" t="s">
        <v>21</v>
      </c>
      <c r="I1845" s="5" t="s">
        <v>4785</v>
      </c>
      <c r="J1845" s="12" t="str">
        <f>HYPERLINK("https://www.boe.es/gazeta/dias/1803/05/10/pdfs/GMD-1803-37.pdf#page=4","Abrir facsímil")</f>
        <v>Abrir facsímil</v>
      </c>
      <c r="K1845" s="15" t="s">
        <v>23</v>
      </c>
    </row>
    <row r="1846" spans="1:11" ht="42" customHeight="1">
      <c r="A1846" s="4" t="s">
        <v>4781</v>
      </c>
      <c r="B1846" s="5" t="s">
        <v>4782</v>
      </c>
      <c r="C1846" s="5" t="s">
        <v>40</v>
      </c>
      <c r="D1846" s="5" t="s">
        <v>41</v>
      </c>
      <c r="E1846" s="5" t="s">
        <v>293</v>
      </c>
      <c r="F1846" s="9">
        <v>45</v>
      </c>
      <c r="G1846" s="9">
        <v>467</v>
      </c>
      <c r="H1846" s="5" t="s">
        <v>21</v>
      </c>
      <c r="I1846" s="5" t="s">
        <v>4786</v>
      </c>
      <c r="J1846" s="12" t="str">
        <f>HYPERLINK("https://www.boe.es/gazeta/dias/1803/06/07/pdfs/GMD-1803-45.pdf#page=3","Abrir facsímil")</f>
        <v>Abrir facsímil</v>
      </c>
      <c r="K1846" s="15" t="s">
        <v>23</v>
      </c>
    </row>
    <row r="1847" spans="1:11" ht="42" customHeight="1">
      <c r="A1847" s="4" t="s">
        <v>4781</v>
      </c>
      <c r="B1847" s="5" t="s">
        <v>4782</v>
      </c>
      <c r="C1847" s="5" t="s">
        <v>40</v>
      </c>
      <c r="D1847" s="5" t="s">
        <v>41</v>
      </c>
      <c r="E1847" s="5" t="s">
        <v>160</v>
      </c>
      <c r="F1847" s="9">
        <v>81</v>
      </c>
      <c r="G1847" s="9">
        <v>866</v>
      </c>
      <c r="H1847" s="5" t="s">
        <v>21</v>
      </c>
      <c r="I1847" s="5" t="s">
        <v>4787</v>
      </c>
      <c r="J1847" s="12" t="str">
        <f>HYPERLINK("https://www.boe.es/gazeta/dias/1803/10/07/pdfs/GMD-1803-81.pdf#page=2","Abrir facsímil")</f>
        <v>Abrir facsímil</v>
      </c>
      <c r="K1847" s="15" t="s">
        <v>23</v>
      </c>
    </row>
    <row r="1848" spans="1:11" ht="42" customHeight="1">
      <c r="A1848" s="4" t="s">
        <v>4781</v>
      </c>
      <c r="B1848" s="5" t="s">
        <v>4782</v>
      </c>
      <c r="C1848" s="5" t="s">
        <v>40</v>
      </c>
      <c r="D1848" s="5" t="s">
        <v>41</v>
      </c>
      <c r="E1848" s="5" t="s">
        <v>795</v>
      </c>
      <c r="F1848" s="9">
        <v>98</v>
      </c>
      <c r="G1848" s="9">
        <v>1046</v>
      </c>
      <c r="H1848" s="5" t="s">
        <v>21</v>
      </c>
      <c r="I1848" s="5" t="s">
        <v>4788</v>
      </c>
      <c r="J1848" s="12" t="str">
        <f>HYPERLINK("https://www.boe.es/gazeta/dias/1803/12/06/pdfs/GMD-1803-98.pdf#page=2","Abrir facsímil")</f>
        <v>Abrir facsímil</v>
      </c>
      <c r="K1848" s="15" t="s">
        <v>23</v>
      </c>
    </row>
    <row r="1849" spans="1:11" ht="42" customHeight="1">
      <c r="A1849" s="4" t="s">
        <v>4789</v>
      </c>
      <c r="B1849" s="5" t="s">
        <v>4790</v>
      </c>
      <c r="C1849" s="5" t="s">
        <v>40</v>
      </c>
      <c r="D1849" s="5" t="s">
        <v>41</v>
      </c>
      <c r="E1849" s="5" t="s">
        <v>214</v>
      </c>
      <c r="F1849" s="9">
        <v>17</v>
      </c>
      <c r="G1849" s="9">
        <v>171</v>
      </c>
      <c r="H1849" s="5" t="s">
        <v>21</v>
      </c>
      <c r="I1849" s="5" t="s">
        <v>4791</v>
      </c>
      <c r="J1849" s="12" t="str">
        <f>HYPERLINK("https://www.boe.es/gazeta/dias/1803/03/01/pdfs/GMD-1803-17.pdf#page=3","Abrir facsímil")</f>
        <v>Abrir facsímil</v>
      </c>
      <c r="K1849" s="15" t="s">
        <v>23</v>
      </c>
    </row>
    <row r="1850" spans="1:11" ht="42" customHeight="1">
      <c r="A1850" s="4" t="s">
        <v>4792</v>
      </c>
      <c r="B1850" s="5" t="s">
        <v>4793</v>
      </c>
      <c r="C1850" s="5" t="s">
        <v>26</v>
      </c>
      <c r="D1850" s="5" t="s">
        <v>27</v>
      </c>
      <c r="E1850" s="5" t="s">
        <v>272</v>
      </c>
      <c r="F1850" s="9">
        <v>25</v>
      </c>
      <c r="G1850" s="9">
        <v>262</v>
      </c>
      <c r="H1850" s="5" t="s">
        <v>21</v>
      </c>
      <c r="I1850" s="5" t="s">
        <v>4794</v>
      </c>
      <c r="J1850" s="12" t="str">
        <f>HYPERLINK("https://www.boe.es/gazeta/dias/1803/03/29/pdfs/GMD-1803-25.pdf#page=2","Abrir facsímil")</f>
        <v>Abrir facsímil</v>
      </c>
      <c r="K1850" s="15" t="s">
        <v>23</v>
      </c>
    </row>
    <row r="1851" spans="1:11" ht="42" customHeight="1">
      <c r="A1851" s="4" t="s">
        <v>4795</v>
      </c>
      <c r="B1851" s="5" t="s">
        <v>4796</v>
      </c>
      <c r="C1851" s="5" t="s">
        <v>46</v>
      </c>
      <c r="D1851" s="5" t="s">
        <v>19</v>
      </c>
      <c r="E1851" s="5" t="s">
        <v>285</v>
      </c>
      <c r="F1851" s="9">
        <v>5</v>
      </c>
      <c r="G1851" s="9">
        <v>46</v>
      </c>
      <c r="H1851" s="5" t="s">
        <v>21</v>
      </c>
      <c r="I1851" s="5" t="s">
        <v>4797</v>
      </c>
      <c r="J1851" s="12" t="str">
        <f>HYPERLINK("https://www.boe.es/gazeta/dias/1803/01/18/pdfs/GMD-1803-5.pdf#page=10","Abrir facsímil")</f>
        <v>Abrir facsímil</v>
      </c>
      <c r="K1851" s="15" t="s">
        <v>23</v>
      </c>
    </row>
    <row r="1852" spans="1:11" ht="42" customHeight="1">
      <c r="A1852" s="4" t="s">
        <v>4798</v>
      </c>
      <c r="B1852" s="5" t="s">
        <v>4799</v>
      </c>
      <c r="C1852" s="5" t="s">
        <v>18</v>
      </c>
      <c r="D1852" s="5" t="s">
        <v>19</v>
      </c>
      <c r="E1852" s="5" t="s">
        <v>109</v>
      </c>
      <c r="F1852" s="9">
        <v>102</v>
      </c>
      <c r="G1852" s="9">
        <v>1097</v>
      </c>
      <c r="H1852" s="5" t="s">
        <v>21</v>
      </c>
      <c r="I1852" s="5" t="s">
        <v>4800</v>
      </c>
      <c r="J1852" s="12" t="str">
        <f>HYPERLINK("https://www.boe.es/gazeta/dias/1803/12/20/pdfs/GMD-1803-102.pdf#page=9","Abrir facsímil")</f>
        <v>Abrir facsímil</v>
      </c>
      <c r="K1852" s="15" t="s">
        <v>23</v>
      </c>
    </row>
    <row r="1853" spans="1:11" ht="42" customHeight="1">
      <c r="A1853" s="4" t="s">
        <v>4801</v>
      </c>
      <c r="B1853" s="5" t="s">
        <v>4802</v>
      </c>
      <c r="C1853" s="5" t="s">
        <v>51</v>
      </c>
      <c r="D1853" s="5" t="s">
        <v>52</v>
      </c>
      <c r="E1853" s="5" t="s">
        <v>109</v>
      </c>
      <c r="F1853" s="9">
        <v>102</v>
      </c>
      <c r="G1853" s="9">
        <v>1098</v>
      </c>
      <c r="H1853" s="5" t="s">
        <v>21</v>
      </c>
      <c r="I1853" s="5" t="s">
        <v>4803</v>
      </c>
      <c r="J1853" s="12" t="str">
        <f>HYPERLINK("https://www.boe.es/gazeta/dias/1803/12/20/pdfs/GMD-1803-102.pdf#page=10","Abrir facsímil")</f>
        <v>Abrir facsímil</v>
      </c>
      <c r="K1853" s="15" t="s">
        <v>23</v>
      </c>
    </row>
    <row r="1854" spans="1:11" ht="42" customHeight="1">
      <c r="A1854" s="4" t="s">
        <v>4804</v>
      </c>
      <c r="B1854" s="5" t="s">
        <v>4805</v>
      </c>
      <c r="C1854" s="5" t="s">
        <v>26</v>
      </c>
      <c r="D1854" s="5" t="s">
        <v>27</v>
      </c>
      <c r="E1854" s="5" t="s">
        <v>439</v>
      </c>
      <c r="F1854" s="9">
        <v>76</v>
      </c>
      <c r="G1854" s="9">
        <v>822</v>
      </c>
      <c r="H1854" s="5" t="s">
        <v>21</v>
      </c>
      <c r="I1854" s="5" t="s">
        <v>4806</v>
      </c>
      <c r="J1854" s="12" t="str">
        <f>HYPERLINK("https://www.boe.es/gazeta/dias/1803/09/20/pdfs/GMD-1803-76.pdf#page=10","Abrir facsímil")</f>
        <v>Abrir facsímil</v>
      </c>
      <c r="K1854" s="15" t="s">
        <v>23</v>
      </c>
    </row>
    <row r="1855" spans="1:11" ht="42" customHeight="1">
      <c r="A1855" s="4" t="s">
        <v>4807</v>
      </c>
      <c r="B1855" s="5" t="s">
        <v>4808</v>
      </c>
      <c r="C1855" s="5" t="s">
        <v>225</v>
      </c>
      <c r="D1855" s="5" t="s">
        <v>226</v>
      </c>
      <c r="E1855" s="5" t="s">
        <v>191</v>
      </c>
      <c r="F1855" s="9">
        <v>34</v>
      </c>
      <c r="G1855" s="9" t="s">
        <v>1970</v>
      </c>
      <c r="H1855" s="5" t="s">
        <v>21</v>
      </c>
      <c r="I1855" s="5" t="s">
        <v>4809</v>
      </c>
      <c r="J1855" s="12" t="str">
        <f>HYPERLINK("https://www.boe.es/gazeta/dias/1803/04/29/pdfs/GMD-C-1803-34.pdf#page=10","Abrir facsímil")</f>
        <v>Abrir facsímil</v>
      </c>
      <c r="K1855" s="15" t="s">
        <v>23</v>
      </c>
    </row>
    <row r="1856" spans="1:11" ht="42" customHeight="1">
      <c r="A1856" s="4" t="s">
        <v>4810</v>
      </c>
      <c r="B1856" s="5" t="s">
        <v>4811</v>
      </c>
      <c r="C1856" s="5" t="s">
        <v>26</v>
      </c>
      <c r="D1856" s="5" t="s">
        <v>27</v>
      </c>
      <c r="E1856" s="5" t="s">
        <v>102</v>
      </c>
      <c r="F1856" s="9">
        <v>31</v>
      </c>
      <c r="G1856" s="9">
        <v>326</v>
      </c>
      <c r="H1856" s="5" t="s">
        <v>21</v>
      </c>
      <c r="I1856" s="5" t="s">
        <v>4812</v>
      </c>
      <c r="J1856" s="12" t="str">
        <f>HYPERLINK("https://www.boe.es/gazeta/dias/1803/04/19/pdfs/GMD-1803-31.pdf#page=6","Abrir facsímil")</f>
        <v>Abrir facsímil</v>
      </c>
      <c r="K1856" s="15" t="s">
        <v>23</v>
      </c>
    </row>
    <row r="1857" spans="1:11" ht="42" customHeight="1">
      <c r="A1857" s="4" t="s">
        <v>4813</v>
      </c>
      <c r="B1857" s="5" t="s">
        <v>4814</v>
      </c>
      <c r="C1857" s="5" t="s">
        <v>26</v>
      </c>
      <c r="D1857" s="5" t="s">
        <v>27</v>
      </c>
      <c r="E1857" s="5" t="s">
        <v>496</v>
      </c>
      <c r="F1857" s="9">
        <v>90</v>
      </c>
      <c r="G1857" s="9">
        <v>966</v>
      </c>
      <c r="H1857" s="5" t="s">
        <v>21</v>
      </c>
      <c r="I1857" s="5" t="s">
        <v>4815</v>
      </c>
      <c r="J1857" s="12" t="str">
        <f>HYPERLINK("https://www.boe.es/gazeta/dias/1803/11/08/pdfs/GMD-1803-90.pdf#page=6","Abrir facsímil")</f>
        <v>Abrir facsímil</v>
      </c>
      <c r="K1857" s="15" t="s">
        <v>23</v>
      </c>
    </row>
    <row r="1858" spans="1:11" ht="42" customHeight="1">
      <c r="A1858" s="4" t="s">
        <v>4816</v>
      </c>
      <c r="B1858" s="5" t="s">
        <v>4816</v>
      </c>
      <c r="C1858" s="5" t="s">
        <v>26</v>
      </c>
      <c r="D1858" s="5" t="s">
        <v>27</v>
      </c>
      <c r="E1858" s="5" t="s">
        <v>68</v>
      </c>
      <c r="F1858" s="9">
        <v>23</v>
      </c>
      <c r="G1858" s="9">
        <v>246</v>
      </c>
      <c r="H1858" s="5" t="s">
        <v>21</v>
      </c>
      <c r="I1858" s="5" t="s">
        <v>4817</v>
      </c>
      <c r="J1858" s="12" t="str">
        <f>HYPERLINK("https://www.boe.es/gazeta/dias/1803/03/22/pdfs/GMD-1803-23.pdf#page=6","Abrir facsímil")</f>
        <v>Abrir facsímil</v>
      </c>
      <c r="K1858" s="15" t="s">
        <v>23</v>
      </c>
    </row>
    <row r="1859" spans="1:11" ht="42" customHeight="1">
      <c r="A1859" s="4" t="s">
        <v>4818</v>
      </c>
      <c r="B1859" s="5" t="s">
        <v>4818</v>
      </c>
      <c r="C1859" s="5" t="s">
        <v>40</v>
      </c>
      <c r="D1859" s="5" t="s">
        <v>41</v>
      </c>
      <c r="E1859" s="5" t="s">
        <v>42</v>
      </c>
      <c r="F1859" s="9">
        <v>10</v>
      </c>
      <c r="G1859" s="9">
        <v>101</v>
      </c>
      <c r="H1859" s="5" t="s">
        <v>21</v>
      </c>
      <c r="I1859" s="5" t="s">
        <v>4819</v>
      </c>
      <c r="J1859" s="12" t="str">
        <f>HYPERLINK("https://www.boe.es/gazeta/dias/1803/02/04/pdfs/GMD-1803-10.pdf#page=5","Abrir facsímil")</f>
        <v>Abrir facsímil</v>
      </c>
      <c r="K1859" s="15" t="s">
        <v>23</v>
      </c>
    </row>
    <row r="1860" spans="1:11" ht="42" customHeight="1">
      <c r="A1860" s="4" t="s">
        <v>4820</v>
      </c>
      <c r="B1860" s="5" t="s">
        <v>4821</v>
      </c>
      <c r="C1860" s="5" t="s">
        <v>26</v>
      </c>
      <c r="D1860" s="5" t="s">
        <v>27</v>
      </c>
      <c r="E1860" s="5" t="s">
        <v>83</v>
      </c>
      <c r="F1860" s="9">
        <v>28</v>
      </c>
      <c r="G1860" s="9">
        <v>304</v>
      </c>
      <c r="H1860" s="5" t="s">
        <v>21</v>
      </c>
      <c r="I1860" s="5" t="s">
        <v>4822</v>
      </c>
      <c r="J1860" s="12" t="str">
        <f>HYPERLINK("https://www.boe.es/gazeta/dias/1803/04/08/pdfs/GMD-1803-28.pdf#page=8","Abrir facsímil")</f>
        <v>Abrir facsímil</v>
      </c>
      <c r="K1860" s="15" t="s">
        <v>23</v>
      </c>
    </row>
    <row r="1861" spans="1:11" ht="42" customHeight="1">
      <c r="A1861" s="4" t="s">
        <v>4823</v>
      </c>
      <c r="B1861" s="5" t="s">
        <v>4824</v>
      </c>
      <c r="C1861" s="5" t="s">
        <v>225</v>
      </c>
      <c r="D1861" s="5" t="s">
        <v>226</v>
      </c>
      <c r="E1861" s="5" t="s">
        <v>191</v>
      </c>
      <c r="F1861" s="9">
        <v>34</v>
      </c>
      <c r="G1861" s="9" t="s">
        <v>1972</v>
      </c>
      <c r="H1861" s="5" t="s">
        <v>21</v>
      </c>
      <c r="I1861" s="5" t="s">
        <v>4825</v>
      </c>
      <c r="J1861" s="12" t="str">
        <f>HYPERLINK("https://www.boe.es/gazeta/dias/1803/04/29/pdfs/GMD-C-1803-34.pdf#page=9","Abrir facsímil")</f>
        <v>Abrir facsímil</v>
      </c>
      <c r="K1861" s="15" t="s">
        <v>23</v>
      </c>
    </row>
    <row r="1862" spans="1:11" ht="42" customHeight="1">
      <c r="A1862" s="4" t="s">
        <v>4826</v>
      </c>
      <c r="B1862" s="5" t="s">
        <v>4826</v>
      </c>
      <c r="C1862" s="5" t="s">
        <v>26</v>
      </c>
      <c r="D1862" s="5" t="s">
        <v>27</v>
      </c>
      <c r="E1862" s="5" t="s">
        <v>571</v>
      </c>
      <c r="F1862" s="9">
        <v>103</v>
      </c>
      <c r="G1862" s="9">
        <v>1105</v>
      </c>
      <c r="H1862" s="5" t="s">
        <v>21</v>
      </c>
      <c r="I1862" s="5" t="s">
        <v>4827</v>
      </c>
      <c r="J1862" s="12" t="str">
        <f>HYPERLINK("https://www.boe.es/gazeta/dias/1803/12/23/pdfs/GMD-1803-103.pdf#page=5","Abrir facsímil")</f>
        <v>Abrir facsímil</v>
      </c>
      <c r="K1862" s="15" t="s">
        <v>23</v>
      </c>
    </row>
    <row r="1863" spans="1:11" ht="42" customHeight="1">
      <c r="A1863" s="4" t="s">
        <v>4828</v>
      </c>
      <c r="B1863" s="5" t="s">
        <v>4829</v>
      </c>
      <c r="C1863" s="5" t="s">
        <v>26</v>
      </c>
      <c r="D1863" s="5" t="s">
        <v>27</v>
      </c>
      <c r="E1863" s="5" t="s">
        <v>519</v>
      </c>
      <c r="F1863" s="9">
        <v>50</v>
      </c>
      <c r="G1863" s="9">
        <v>541</v>
      </c>
      <c r="H1863" s="5" t="s">
        <v>21</v>
      </c>
      <c r="I1863" s="5" t="s">
        <v>4830</v>
      </c>
      <c r="J1863" s="12" t="str">
        <f>HYPERLINK("https://www.boe.es/gazeta/dias/1803/06/24/pdfs/GMD-1803-50.pdf#page=9","Abrir facsímil")</f>
        <v>Abrir facsímil</v>
      </c>
      <c r="K1863" s="15" t="s">
        <v>23</v>
      </c>
    </row>
    <row r="1864" spans="1:11" ht="42" customHeight="1">
      <c r="A1864" s="4" t="s">
        <v>4831</v>
      </c>
      <c r="B1864" s="5" t="s">
        <v>4832</v>
      </c>
      <c r="C1864" s="5" t="s">
        <v>26</v>
      </c>
      <c r="D1864" s="5" t="s">
        <v>27</v>
      </c>
      <c r="E1864" s="5" t="s">
        <v>882</v>
      </c>
      <c r="F1864" s="9">
        <v>60</v>
      </c>
      <c r="G1864" s="9">
        <v>656</v>
      </c>
      <c r="H1864" s="5" t="s">
        <v>21</v>
      </c>
      <c r="I1864" s="5" t="s">
        <v>4833</v>
      </c>
      <c r="J1864" s="12" t="str">
        <f>HYPERLINK("https://www.boe.es/gazeta/dias/1803/07/29/pdfs/GMD-1803-60.pdf#page=8","Abrir facsímil")</f>
        <v>Abrir facsímil</v>
      </c>
      <c r="K1864" s="15" t="s">
        <v>23</v>
      </c>
    </row>
    <row r="1865" spans="1:11" ht="42" customHeight="1">
      <c r="A1865" s="4" t="s">
        <v>4834</v>
      </c>
      <c r="B1865" s="5" t="s">
        <v>4835</v>
      </c>
      <c r="C1865" s="5" t="s">
        <v>51</v>
      </c>
      <c r="D1865" s="5" t="s">
        <v>52</v>
      </c>
      <c r="E1865" s="5" t="s">
        <v>203</v>
      </c>
      <c r="F1865" s="9">
        <v>32</v>
      </c>
      <c r="G1865" s="9">
        <v>335</v>
      </c>
      <c r="H1865" s="5" t="s">
        <v>21</v>
      </c>
      <c r="I1865" s="5" t="s">
        <v>4836</v>
      </c>
      <c r="J1865" s="12" t="str">
        <f>HYPERLINK("https://www.boe.es/gazeta/dias/1803/04/22/pdfs/GMD-1803-32.pdf#page=7","Abrir facsímil")</f>
        <v>Abrir facsímil</v>
      </c>
      <c r="K1865" s="15" t="s">
        <v>23</v>
      </c>
    </row>
    <row r="1866" spans="1:11" ht="42" customHeight="1">
      <c r="A1866" s="4" t="s">
        <v>4837</v>
      </c>
      <c r="B1866" s="5" t="s">
        <v>4838</v>
      </c>
      <c r="C1866" s="5" t="s">
        <v>874</v>
      </c>
      <c r="D1866" s="5" t="s">
        <v>875</v>
      </c>
      <c r="E1866" s="5" t="s">
        <v>480</v>
      </c>
      <c r="F1866" s="9">
        <v>87</v>
      </c>
      <c r="G1866" s="9" t="s">
        <v>1213</v>
      </c>
      <c r="H1866" s="5" t="s">
        <v>21</v>
      </c>
      <c r="I1866" s="5" t="s">
        <v>4839</v>
      </c>
      <c r="J1866" s="12" t="str">
        <f>HYPERLINK("https://www.boe.es/gazeta/dias/1803/10/28/pdfs/GMD-C-1803-87.pdf#page=2","Abrir facsímil")</f>
        <v>Abrir facsímil</v>
      </c>
      <c r="K1866" s="15" t="s">
        <v>23</v>
      </c>
    </row>
    <row r="1867" spans="1:11" ht="42" customHeight="1">
      <c r="A1867" s="4" t="s">
        <v>4840</v>
      </c>
      <c r="B1867" s="5" t="s">
        <v>4840</v>
      </c>
      <c r="C1867" s="5" t="s">
        <v>26</v>
      </c>
      <c r="D1867" s="5" t="s">
        <v>27</v>
      </c>
      <c r="E1867" s="5" t="s">
        <v>519</v>
      </c>
      <c r="F1867" s="9">
        <v>50</v>
      </c>
      <c r="G1867" s="9">
        <v>541</v>
      </c>
      <c r="H1867" s="5" t="s">
        <v>21</v>
      </c>
      <c r="I1867" s="5" t="s">
        <v>4841</v>
      </c>
      <c r="J1867" s="12" t="str">
        <f>HYPERLINK("https://www.boe.es/gazeta/dias/1803/06/24/pdfs/GMD-1803-50.pdf#page=9","Abrir facsímil")</f>
        <v>Abrir facsímil</v>
      </c>
      <c r="K1867" s="15" t="s">
        <v>23</v>
      </c>
    </row>
    <row r="1868" spans="1:11" ht="42" customHeight="1">
      <c r="A1868" s="4" t="s">
        <v>4842</v>
      </c>
      <c r="B1868" s="5" t="s">
        <v>4842</v>
      </c>
      <c r="C1868" s="5" t="s">
        <v>26</v>
      </c>
      <c r="D1868" s="5" t="s">
        <v>27</v>
      </c>
      <c r="E1868" s="5" t="s">
        <v>373</v>
      </c>
      <c r="F1868" s="9">
        <v>77</v>
      </c>
      <c r="G1868" s="9">
        <v>834</v>
      </c>
      <c r="H1868" s="5" t="s">
        <v>21</v>
      </c>
      <c r="I1868" s="5" t="s">
        <v>4843</v>
      </c>
      <c r="J1868" s="12" t="str">
        <f>HYPERLINK("https://www.boe.es/gazeta/dias/1803/09/23/pdfs/GMD-1803-77.pdf#page=10","Abrir facsímil")</f>
        <v>Abrir facsímil</v>
      </c>
      <c r="K1868" s="15" t="s">
        <v>23</v>
      </c>
    </row>
    <row r="1869" spans="1:11" ht="42" customHeight="1">
      <c r="A1869" s="4" t="s">
        <v>4844</v>
      </c>
      <c r="B1869" s="5" t="s">
        <v>4845</v>
      </c>
      <c r="C1869" s="5" t="s">
        <v>51</v>
      </c>
      <c r="D1869" s="5" t="s">
        <v>52</v>
      </c>
      <c r="E1869" s="5" t="s">
        <v>148</v>
      </c>
      <c r="F1869" s="9">
        <v>15</v>
      </c>
      <c r="G1869" s="9">
        <v>157</v>
      </c>
      <c r="H1869" s="5" t="s">
        <v>21</v>
      </c>
      <c r="I1869" s="5" t="s">
        <v>4846</v>
      </c>
      <c r="J1869" s="12" t="str">
        <f>HYPERLINK("https://www.boe.es/gazeta/dias/1803/02/22/pdfs/GMD-1803-15.pdf#page=9","Abrir facsímil")</f>
        <v>Abrir facsímil</v>
      </c>
      <c r="K1869" s="15" t="s">
        <v>23</v>
      </c>
    </row>
    <row r="1870" spans="1:11" ht="42" customHeight="1">
      <c r="A1870" s="4" t="s">
        <v>4844</v>
      </c>
      <c r="B1870" s="5" t="s">
        <v>4845</v>
      </c>
      <c r="C1870" s="5" t="s">
        <v>26</v>
      </c>
      <c r="D1870" s="5" t="s">
        <v>27</v>
      </c>
      <c r="E1870" s="5" t="s">
        <v>28</v>
      </c>
      <c r="F1870" s="9">
        <v>92</v>
      </c>
      <c r="G1870" s="9">
        <v>986</v>
      </c>
      <c r="H1870" s="5" t="s">
        <v>21</v>
      </c>
      <c r="I1870" s="5" t="s">
        <v>4847</v>
      </c>
      <c r="J1870" s="12" t="str">
        <f>HYPERLINK("https://www.boe.es/gazeta/dias/1803/11/15/pdfs/GMD-1803-92.pdf#page=6","Abrir facsímil")</f>
        <v>Abrir facsímil</v>
      </c>
      <c r="K1870" s="15" t="s">
        <v>23</v>
      </c>
    </row>
    <row r="1871" spans="1:11" ht="42" customHeight="1">
      <c r="A1871" s="4" t="s">
        <v>4848</v>
      </c>
      <c r="B1871" s="5" t="s">
        <v>4849</v>
      </c>
      <c r="C1871" s="5" t="s">
        <v>51</v>
      </c>
      <c r="D1871" s="5" t="s">
        <v>52</v>
      </c>
      <c r="E1871" s="5" t="s">
        <v>340</v>
      </c>
      <c r="F1871" s="9">
        <v>55</v>
      </c>
      <c r="G1871" s="9">
        <v>599</v>
      </c>
      <c r="H1871" s="5" t="s">
        <v>21</v>
      </c>
      <c r="I1871" s="5" t="s">
        <v>4850</v>
      </c>
      <c r="J1871" s="12" t="str">
        <f>HYPERLINK("https://www.boe.es/gazeta/dias/1803/07/12/pdfs/GMD-1803-55.pdf#page=7","Abrir facsímil")</f>
        <v>Abrir facsímil</v>
      </c>
      <c r="K1871" s="15" t="s">
        <v>23</v>
      </c>
    </row>
    <row r="1872" spans="1:11" ht="42" customHeight="1">
      <c r="A1872" s="4" t="s">
        <v>4851</v>
      </c>
      <c r="B1872" s="5" t="s">
        <v>4851</v>
      </c>
      <c r="C1872" s="5" t="s">
        <v>80</v>
      </c>
      <c r="D1872" s="5" t="s">
        <v>81</v>
      </c>
      <c r="E1872" s="5" t="s">
        <v>588</v>
      </c>
      <c r="F1872" s="9">
        <v>63</v>
      </c>
      <c r="G1872" s="9">
        <v>688</v>
      </c>
      <c r="H1872" s="5" t="s">
        <v>21</v>
      </c>
      <c r="I1872" s="5" t="s">
        <v>4852</v>
      </c>
      <c r="J1872" s="12" t="str">
        <f>HYPERLINK("https://www.boe.es/gazeta/dias/1803/08/09/pdfs/GMD-1803-63.pdf#page=8","Abrir facsímil")</f>
        <v>Abrir facsímil</v>
      </c>
      <c r="K1872" s="15" t="s">
        <v>23</v>
      </c>
    </row>
    <row r="1873" spans="1:11" ht="42" customHeight="1">
      <c r="A1873" s="4" t="s">
        <v>4853</v>
      </c>
      <c r="B1873" s="5" t="s">
        <v>4854</v>
      </c>
      <c r="C1873" s="5" t="s">
        <v>51</v>
      </c>
      <c r="D1873" s="5" t="s">
        <v>52</v>
      </c>
      <c r="E1873" s="5" t="s">
        <v>509</v>
      </c>
      <c r="F1873" s="9">
        <v>6</v>
      </c>
      <c r="G1873" s="9">
        <v>50</v>
      </c>
      <c r="H1873" s="5" t="s">
        <v>21</v>
      </c>
      <c r="I1873" s="5" t="s">
        <v>4855</v>
      </c>
      <c r="J1873" s="12" t="str">
        <f>HYPERLINK("https://www.boe.es/gazeta/dias/1803/01/21/pdfs/GMD-1803-6.pdf#page=2","Abrir facsímil")</f>
        <v>Abrir facsímil</v>
      </c>
      <c r="K1873" s="15" t="s">
        <v>23</v>
      </c>
    </row>
    <row r="1874" spans="1:11" ht="42" customHeight="1">
      <c r="A1874" s="4" t="s">
        <v>4856</v>
      </c>
      <c r="B1874" s="5" t="s">
        <v>4856</v>
      </c>
      <c r="C1874" s="5" t="s">
        <v>80</v>
      </c>
      <c r="D1874" s="5" t="s">
        <v>81</v>
      </c>
      <c r="E1874" s="5" t="s">
        <v>1846</v>
      </c>
      <c r="F1874" s="9">
        <v>89</v>
      </c>
      <c r="G1874" s="9">
        <v>957</v>
      </c>
      <c r="H1874" s="5" t="s">
        <v>21</v>
      </c>
      <c r="I1874" s="5" t="s">
        <v>4857</v>
      </c>
      <c r="J1874" s="12" t="str">
        <f>HYPERLINK("https://www.boe.es/gazeta/dias/1803/11/04/pdfs/GMD-1803-89.pdf#page=5","Abrir facsímil")</f>
        <v>Abrir facsímil</v>
      </c>
      <c r="K1874" s="15" t="s">
        <v>23</v>
      </c>
    </row>
    <row r="1875" spans="1:11" ht="42" customHeight="1">
      <c r="A1875" s="4" t="s">
        <v>4858</v>
      </c>
      <c r="B1875" s="5" t="s">
        <v>4858</v>
      </c>
      <c r="C1875" s="5" t="s">
        <v>26</v>
      </c>
      <c r="D1875" s="5" t="s">
        <v>27</v>
      </c>
      <c r="E1875" s="5" t="s">
        <v>403</v>
      </c>
      <c r="F1875" s="9">
        <v>91</v>
      </c>
      <c r="G1875" s="9">
        <v>977</v>
      </c>
      <c r="H1875" s="5" t="s">
        <v>21</v>
      </c>
      <c r="I1875" s="5" t="s">
        <v>4859</v>
      </c>
      <c r="J1875" s="12" t="str">
        <f>HYPERLINK("https://www.boe.es/gazeta/dias/1803/11/11/pdfs/GMD-1803-91.pdf#page=9","Abrir facsímil")</f>
        <v>Abrir facsímil</v>
      </c>
      <c r="K1875" s="15" t="s">
        <v>23</v>
      </c>
    </row>
    <row r="1876" spans="1:11" ht="42" customHeight="1">
      <c r="A1876" s="4" t="s">
        <v>4860</v>
      </c>
      <c r="B1876" s="5" t="s">
        <v>4861</v>
      </c>
      <c r="C1876" s="5" t="s">
        <v>26</v>
      </c>
      <c r="D1876" s="5" t="s">
        <v>27</v>
      </c>
      <c r="E1876" s="5" t="s">
        <v>555</v>
      </c>
      <c r="F1876" s="9">
        <v>83</v>
      </c>
      <c r="G1876" s="9">
        <v>895</v>
      </c>
      <c r="H1876" s="5" t="s">
        <v>21</v>
      </c>
      <c r="I1876" s="5" t="s">
        <v>4862</v>
      </c>
      <c r="J1876" s="12" t="str">
        <f>HYPERLINK("https://www.boe.es/gazeta/dias/1803/10/14/pdfs/GMD-1803-83.pdf#page=7","Abrir facsímil")</f>
        <v>Abrir facsímil</v>
      </c>
      <c r="K1876" s="15" t="s">
        <v>23</v>
      </c>
    </row>
    <row r="1877" spans="1:11" ht="42" customHeight="1">
      <c r="A1877" s="4" t="s">
        <v>4863</v>
      </c>
      <c r="B1877" s="5" t="s">
        <v>4863</v>
      </c>
      <c r="C1877" s="5" t="s">
        <v>40</v>
      </c>
      <c r="D1877" s="5" t="s">
        <v>41</v>
      </c>
      <c r="E1877" s="5" t="s">
        <v>407</v>
      </c>
      <c r="F1877" s="9">
        <v>82</v>
      </c>
      <c r="G1877" s="9">
        <v>885</v>
      </c>
      <c r="H1877" s="5" t="s">
        <v>21</v>
      </c>
      <c r="I1877" s="5" t="s">
        <v>4864</v>
      </c>
      <c r="J1877" s="12" t="str">
        <f>HYPERLINK("https://www.boe.es/gazeta/dias/1803/10/11/pdfs/GMD-1803-82.pdf#page=9","Abrir facsímil")</f>
        <v>Abrir facsímil</v>
      </c>
      <c r="K1877" s="15" t="s">
        <v>23</v>
      </c>
    </row>
    <row r="1878" spans="1:11" ht="42" customHeight="1">
      <c r="A1878" s="4" t="s">
        <v>4865</v>
      </c>
      <c r="B1878" s="5" t="s">
        <v>4866</v>
      </c>
      <c r="C1878" s="5" t="s">
        <v>26</v>
      </c>
      <c r="D1878" s="5" t="s">
        <v>27</v>
      </c>
      <c r="E1878" s="5" t="s">
        <v>321</v>
      </c>
      <c r="F1878" s="9">
        <v>94</v>
      </c>
      <c r="G1878" s="9">
        <v>1010</v>
      </c>
      <c r="H1878" s="5" t="s">
        <v>21</v>
      </c>
      <c r="I1878" s="5" t="s">
        <v>4867</v>
      </c>
      <c r="J1878" s="12" t="str">
        <f>HYPERLINK("https://www.boe.es/gazeta/dias/1803/11/22/pdfs/GMD-1803-94.pdf#page=10","Abrir facsímil")</f>
        <v>Abrir facsímil</v>
      </c>
      <c r="K1878" s="15" t="s">
        <v>23</v>
      </c>
    </row>
    <row r="1879" spans="1:11" ht="42" customHeight="1">
      <c r="A1879" s="4" t="s">
        <v>4868</v>
      </c>
      <c r="B1879" s="5" t="s">
        <v>4869</v>
      </c>
      <c r="C1879" s="5" t="s">
        <v>18</v>
      </c>
      <c r="D1879" s="5" t="s">
        <v>19</v>
      </c>
      <c r="E1879" s="5" t="s">
        <v>83</v>
      </c>
      <c r="F1879" s="9">
        <v>28</v>
      </c>
      <c r="G1879" s="9">
        <v>303</v>
      </c>
      <c r="H1879" s="5" t="s">
        <v>21</v>
      </c>
      <c r="I1879" s="5" t="s">
        <v>4870</v>
      </c>
      <c r="J1879" s="12" t="str">
        <f>HYPERLINK("https://www.boe.es/gazeta/dias/1803/04/08/pdfs/GMD-1803-28.pdf#page=7","Abrir facsímil")</f>
        <v>Abrir facsímil</v>
      </c>
      <c r="K1879" s="15" t="s">
        <v>23</v>
      </c>
    </row>
    <row r="1880" spans="1:11" ht="42" customHeight="1">
      <c r="A1880" s="4" t="s">
        <v>4871</v>
      </c>
      <c r="B1880" s="5" t="s">
        <v>4872</v>
      </c>
      <c r="C1880" s="5" t="s">
        <v>80</v>
      </c>
      <c r="D1880" s="5" t="s">
        <v>81</v>
      </c>
      <c r="E1880" s="5" t="s">
        <v>42</v>
      </c>
      <c r="F1880" s="9">
        <v>10</v>
      </c>
      <c r="G1880" s="9">
        <v>104</v>
      </c>
      <c r="H1880" s="5" t="s">
        <v>21</v>
      </c>
      <c r="I1880" s="5" t="s">
        <v>4873</v>
      </c>
      <c r="J1880" s="12" t="str">
        <f>HYPERLINK("https://www.boe.es/gazeta/dias/1803/02/04/pdfs/GMD-1803-10.pdf#page=8","Abrir facsímil")</f>
        <v>Abrir facsímil</v>
      </c>
      <c r="K1880" s="15" t="s">
        <v>23</v>
      </c>
    </row>
    <row r="1881" spans="1:11" ht="42" customHeight="1">
      <c r="A1881" s="4" t="s">
        <v>4871</v>
      </c>
      <c r="B1881" s="5" t="s">
        <v>4872</v>
      </c>
      <c r="C1881" s="5" t="s">
        <v>80</v>
      </c>
      <c r="D1881" s="5" t="s">
        <v>81</v>
      </c>
      <c r="E1881" s="5" t="s">
        <v>214</v>
      </c>
      <c r="F1881" s="9">
        <v>17</v>
      </c>
      <c r="G1881" s="9">
        <v>180</v>
      </c>
      <c r="H1881" s="5" t="s">
        <v>21</v>
      </c>
      <c r="I1881" s="5" t="s">
        <v>4874</v>
      </c>
      <c r="J1881" s="12" t="str">
        <f>HYPERLINK("https://www.boe.es/gazeta/dias/1803/03/01/pdfs/GMD-1803-17.pdf#page=12","Abrir facsímil")</f>
        <v>Abrir facsímil</v>
      </c>
      <c r="K1881" s="15" t="s">
        <v>23</v>
      </c>
    </row>
    <row r="1882" spans="1:11" ht="42" customHeight="1">
      <c r="A1882" s="4" t="s">
        <v>4875</v>
      </c>
      <c r="B1882" s="5" t="s">
        <v>4876</v>
      </c>
      <c r="C1882" s="5" t="s">
        <v>18</v>
      </c>
      <c r="D1882" s="5" t="s">
        <v>19</v>
      </c>
      <c r="E1882" s="5" t="s">
        <v>571</v>
      </c>
      <c r="F1882" s="9">
        <v>103</v>
      </c>
      <c r="G1882" s="9">
        <v>1106</v>
      </c>
      <c r="H1882" s="5" t="s">
        <v>21</v>
      </c>
      <c r="I1882" s="5" t="s">
        <v>4877</v>
      </c>
      <c r="J1882" s="12" t="str">
        <f>HYPERLINK("https://www.boe.es/gazeta/dias/1803/12/23/pdfs/GMD-1803-103.pdf#page=6","Abrir facsímil")</f>
        <v>Abrir facsímil</v>
      </c>
      <c r="K1882" s="15" t="s">
        <v>23</v>
      </c>
    </row>
    <row r="1883" spans="1:11" ht="42" customHeight="1">
      <c r="A1883" s="4" t="s">
        <v>4878</v>
      </c>
      <c r="B1883" s="5" t="s">
        <v>4879</v>
      </c>
      <c r="C1883" s="5" t="s">
        <v>18</v>
      </c>
      <c r="D1883" s="5" t="s">
        <v>19</v>
      </c>
      <c r="E1883" s="5" t="s">
        <v>207</v>
      </c>
      <c r="F1883" s="9">
        <v>27</v>
      </c>
      <c r="G1883" s="9">
        <v>292</v>
      </c>
      <c r="H1883" s="5" t="s">
        <v>21</v>
      </c>
      <c r="I1883" s="5" t="s">
        <v>4880</v>
      </c>
      <c r="J1883" s="12" t="str">
        <f>HYPERLINK("https://www.boe.es/gazeta/dias/1803/04/05/pdfs/GMD-1803-27.pdf#page=8","Abrir facsímil")</f>
        <v>Abrir facsímil</v>
      </c>
      <c r="K1883" s="15" t="s">
        <v>23</v>
      </c>
    </row>
    <row r="1884" spans="1:11" ht="42" customHeight="1">
      <c r="A1884" s="4" t="s">
        <v>4878</v>
      </c>
      <c r="B1884" s="5" t="s">
        <v>4879</v>
      </c>
      <c r="C1884" s="5" t="s">
        <v>18</v>
      </c>
      <c r="D1884" s="5" t="s">
        <v>19</v>
      </c>
      <c r="E1884" s="5" t="s">
        <v>399</v>
      </c>
      <c r="F1884" s="9">
        <v>95</v>
      </c>
      <c r="G1884" s="9">
        <v>1017</v>
      </c>
      <c r="H1884" s="5" t="s">
        <v>21</v>
      </c>
      <c r="I1884" s="5" t="s">
        <v>4881</v>
      </c>
      <c r="J1884" s="12" t="str">
        <f>HYPERLINK("https://www.boe.es/gazeta/dias/1803/11/25/pdfs/GMD-1803-95.pdf#page=5","Abrir facsímil")</f>
        <v>Abrir facsímil</v>
      </c>
      <c r="K1884" s="15" t="s">
        <v>23</v>
      </c>
    </row>
    <row r="1885" spans="1:11" ht="42" customHeight="1">
      <c r="A1885" s="4" t="s">
        <v>4882</v>
      </c>
      <c r="B1885" s="5" t="s">
        <v>4883</v>
      </c>
      <c r="C1885" s="5" t="s">
        <v>46</v>
      </c>
      <c r="D1885" s="5" t="s">
        <v>19</v>
      </c>
      <c r="E1885" s="5" t="s">
        <v>75</v>
      </c>
      <c r="F1885" s="9">
        <v>56</v>
      </c>
      <c r="G1885" s="9">
        <v>607</v>
      </c>
      <c r="H1885" s="5" t="s">
        <v>21</v>
      </c>
      <c r="I1885" s="5" t="s">
        <v>4884</v>
      </c>
      <c r="J1885" s="12" t="str">
        <f>HYPERLINK("https://www.boe.es/gazeta/dias/1803/07/15/pdfs/GMD-1803-56.pdf#page=3","Abrir facsímil")</f>
        <v>Abrir facsímil</v>
      </c>
      <c r="K1885" s="15" t="s">
        <v>23</v>
      </c>
    </row>
    <row r="1886" spans="1:11" ht="42" customHeight="1">
      <c r="A1886" s="4" t="s">
        <v>4885</v>
      </c>
      <c r="B1886" s="5" t="s">
        <v>4886</v>
      </c>
      <c r="C1886" s="5" t="s">
        <v>40</v>
      </c>
      <c r="D1886" s="5" t="s">
        <v>41</v>
      </c>
      <c r="E1886" s="5" t="s">
        <v>514</v>
      </c>
      <c r="F1886" s="9">
        <v>42</v>
      </c>
      <c r="G1886" s="9">
        <v>435</v>
      </c>
      <c r="H1886" s="5" t="s">
        <v>21</v>
      </c>
      <c r="I1886" s="5" t="s">
        <v>4887</v>
      </c>
      <c r="J1886" s="12" t="str">
        <f>HYPERLINK("https://www.boe.es/gazeta/dias/1803/05/27/pdfs/GMD-1803-42.pdf#page=3","Abrir facsímil")</f>
        <v>Abrir facsímil</v>
      </c>
      <c r="K1886" s="15" t="s">
        <v>23</v>
      </c>
    </row>
    <row r="1887" spans="1:11" ht="42" customHeight="1">
      <c r="A1887" s="4" t="s">
        <v>4888</v>
      </c>
      <c r="B1887" s="5" t="s">
        <v>4889</v>
      </c>
      <c r="C1887" s="5" t="s">
        <v>18</v>
      </c>
      <c r="D1887" s="5" t="s">
        <v>19</v>
      </c>
      <c r="E1887" s="5" t="s">
        <v>218</v>
      </c>
      <c r="F1887" s="9">
        <v>19</v>
      </c>
      <c r="G1887" s="9">
        <v>201</v>
      </c>
      <c r="H1887" s="5" t="s">
        <v>21</v>
      </c>
      <c r="I1887" s="5" t="s">
        <v>4890</v>
      </c>
      <c r="J1887" s="12" t="str">
        <f>HYPERLINK("https://www.boe.es/gazeta/dias/1803/03/08/pdfs/GMD-1803-19.pdf#page=9","Abrir facsímil")</f>
        <v>Abrir facsímil</v>
      </c>
      <c r="K1887" s="15" t="s">
        <v>23</v>
      </c>
    </row>
    <row r="1888" spans="1:11" ht="42" customHeight="1">
      <c r="A1888" s="4" t="s">
        <v>4891</v>
      </c>
      <c r="B1888" s="5" t="s">
        <v>4891</v>
      </c>
      <c r="C1888" s="5" t="s">
        <v>40</v>
      </c>
      <c r="D1888" s="5" t="s">
        <v>41</v>
      </c>
      <c r="E1888" s="5" t="s">
        <v>606</v>
      </c>
      <c r="F1888" s="9">
        <v>47</v>
      </c>
      <c r="G1888" s="9">
        <v>494</v>
      </c>
      <c r="H1888" s="5" t="s">
        <v>21</v>
      </c>
      <c r="I1888" s="5" t="s">
        <v>4892</v>
      </c>
      <c r="J1888" s="12" t="str">
        <f>HYPERLINK("https://www.boe.es/gazeta/dias/1803/06/14/pdfs/GMD-1803-47.pdf#page=6","Abrir facsímil")</f>
        <v>Abrir facsímil</v>
      </c>
      <c r="K1888" s="15" t="s">
        <v>23</v>
      </c>
    </row>
    <row r="1889" spans="1:11" ht="42" customHeight="1">
      <c r="A1889" s="4" t="s">
        <v>4891</v>
      </c>
      <c r="B1889" s="5" t="s">
        <v>4891</v>
      </c>
      <c r="C1889" s="5" t="s">
        <v>80</v>
      </c>
      <c r="D1889" s="5" t="s">
        <v>81</v>
      </c>
      <c r="E1889" s="5" t="s">
        <v>113</v>
      </c>
      <c r="F1889" s="9">
        <v>93</v>
      </c>
      <c r="G1889" s="9">
        <v>993</v>
      </c>
      <c r="H1889" s="5" t="s">
        <v>21</v>
      </c>
      <c r="I1889" s="5" t="s">
        <v>4893</v>
      </c>
      <c r="J1889" s="12" t="str">
        <f>HYPERLINK("https://www.boe.es/gazeta/dias/1803/11/18/pdfs/GMD-1803-93.pdf#page=5","Abrir facsímil")</f>
        <v>Abrir facsímil</v>
      </c>
      <c r="K1889" s="15" t="s">
        <v>23</v>
      </c>
    </row>
    <row r="1890" spans="1:11" ht="42" customHeight="1">
      <c r="A1890" s="4" t="s">
        <v>4894</v>
      </c>
      <c r="B1890" s="5" t="s">
        <v>4895</v>
      </c>
      <c r="C1890" s="5" t="s">
        <v>26</v>
      </c>
      <c r="D1890" s="5" t="s">
        <v>27</v>
      </c>
      <c r="E1890" s="5" t="s">
        <v>138</v>
      </c>
      <c r="F1890" s="9">
        <v>68</v>
      </c>
      <c r="G1890" s="9">
        <v>742</v>
      </c>
      <c r="H1890" s="5" t="s">
        <v>21</v>
      </c>
      <c r="I1890" s="5" t="s">
        <v>4896</v>
      </c>
      <c r="J1890" s="12" t="str">
        <f>HYPERLINK("https://www.boe.es/gazeta/dias/1803/08/26/pdfs/GMD-1803-68.pdf#page=10","Abrir facsímil")</f>
        <v>Abrir facsímil</v>
      </c>
      <c r="K1890" s="15" t="s">
        <v>23</v>
      </c>
    </row>
    <row r="1891" spans="1:11" ht="42" customHeight="1">
      <c r="A1891" s="4" t="s">
        <v>4897</v>
      </c>
      <c r="B1891" s="5" t="s">
        <v>4898</v>
      </c>
      <c r="C1891" s="5" t="s">
        <v>26</v>
      </c>
      <c r="D1891" s="5" t="s">
        <v>27</v>
      </c>
      <c r="E1891" s="5" t="s">
        <v>83</v>
      </c>
      <c r="F1891" s="9">
        <v>28</v>
      </c>
      <c r="G1891" s="9">
        <v>303</v>
      </c>
      <c r="H1891" s="5" t="s">
        <v>21</v>
      </c>
      <c r="I1891" s="5" t="s">
        <v>4899</v>
      </c>
      <c r="J1891" s="12" t="str">
        <f>HYPERLINK("https://www.boe.es/gazeta/dias/1803/04/08/pdfs/GMD-1803-28.pdf#page=7","Abrir facsímil")</f>
        <v>Abrir facsímil</v>
      </c>
      <c r="K1891" s="15" t="s">
        <v>23</v>
      </c>
    </row>
    <row r="1892" spans="1:11" ht="42" customHeight="1">
      <c r="A1892" s="4" t="s">
        <v>4900</v>
      </c>
      <c r="B1892" s="5" t="s">
        <v>4900</v>
      </c>
      <c r="C1892" s="5" t="s">
        <v>26</v>
      </c>
      <c r="D1892" s="5" t="s">
        <v>27</v>
      </c>
      <c r="E1892" s="5" t="s">
        <v>313</v>
      </c>
      <c r="F1892" s="9">
        <v>14</v>
      </c>
      <c r="G1892" s="9">
        <v>140</v>
      </c>
      <c r="H1892" s="5" t="s">
        <v>21</v>
      </c>
      <c r="I1892" s="5" t="s">
        <v>4901</v>
      </c>
      <c r="J1892" s="12" t="str">
        <f>HYPERLINK("https://www.boe.es/gazeta/dias/1803/02/18/pdfs/GMD-1803-14.pdf#page=4","Abrir facsímil")</f>
        <v>Abrir facsímil</v>
      </c>
      <c r="K1892" s="15" t="s">
        <v>23</v>
      </c>
    </row>
    <row r="1893" spans="1:11" ht="42" customHeight="1">
      <c r="A1893" s="4" t="s">
        <v>4902</v>
      </c>
      <c r="B1893" s="5" t="s">
        <v>4903</v>
      </c>
      <c r="C1893" s="5" t="s">
        <v>26</v>
      </c>
      <c r="D1893" s="5" t="s">
        <v>27</v>
      </c>
      <c r="E1893" s="5" t="s">
        <v>514</v>
      </c>
      <c r="F1893" s="9">
        <v>42</v>
      </c>
      <c r="G1893" s="9">
        <v>439</v>
      </c>
      <c r="H1893" s="5" t="s">
        <v>21</v>
      </c>
      <c r="I1893" s="5" t="s">
        <v>4904</v>
      </c>
      <c r="J1893" s="12" t="str">
        <f>HYPERLINK("https://www.boe.es/gazeta/dias/1803/05/27/pdfs/GMD-1803-42.pdf#page=7","Abrir facsímil")</f>
        <v>Abrir facsímil</v>
      </c>
      <c r="K1893" s="15" t="s">
        <v>23</v>
      </c>
    </row>
    <row r="1894" spans="1:11" ht="42" customHeight="1">
      <c r="A1894" s="4" t="s">
        <v>4905</v>
      </c>
      <c r="B1894" s="5" t="s">
        <v>4905</v>
      </c>
      <c r="C1894" s="5" t="s">
        <v>46</v>
      </c>
      <c r="D1894" s="5" t="s">
        <v>19</v>
      </c>
      <c r="E1894" s="5" t="s">
        <v>32</v>
      </c>
      <c r="F1894" s="9">
        <v>74</v>
      </c>
      <c r="G1894" s="9">
        <v>801</v>
      </c>
      <c r="H1894" s="5" t="s">
        <v>21</v>
      </c>
      <c r="I1894" s="5" t="s">
        <v>4906</v>
      </c>
      <c r="J1894" s="12" t="str">
        <f>HYPERLINK("https://www.boe.es/gazeta/dias/1803/09/13/pdfs/GMD-1803-74.pdf#page=5","Abrir facsímil")</f>
        <v>Abrir facsímil</v>
      </c>
      <c r="K1894" s="15" t="s">
        <v>23</v>
      </c>
    </row>
    <row r="1895" spans="1:11" ht="42" customHeight="1">
      <c r="A1895" s="4" t="s">
        <v>4907</v>
      </c>
      <c r="B1895" s="5" t="s">
        <v>4908</v>
      </c>
      <c r="C1895" s="5" t="s">
        <v>26</v>
      </c>
      <c r="D1895" s="5" t="s">
        <v>27</v>
      </c>
      <c r="E1895" s="5" t="s">
        <v>191</v>
      </c>
      <c r="F1895" s="9">
        <v>34</v>
      </c>
      <c r="G1895" s="9">
        <v>358</v>
      </c>
      <c r="H1895" s="5" t="s">
        <v>21</v>
      </c>
      <c r="I1895" s="5" t="s">
        <v>4909</v>
      </c>
      <c r="J1895" s="12" t="str">
        <f>HYPERLINK("https://www.boe.es/gazeta/dias/1803/04/29/pdfs/GMD-1803-34.pdf#page=6","Abrir facsímil")</f>
        <v>Abrir facsímil</v>
      </c>
      <c r="K1895" s="15" t="s">
        <v>23</v>
      </c>
    </row>
    <row r="1896" spans="1:11" ht="42" customHeight="1">
      <c r="A1896" s="4" t="s">
        <v>4910</v>
      </c>
      <c r="B1896" s="5" t="s">
        <v>4911</v>
      </c>
      <c r="C1896" s="5" t="s">
        <v>18</v>
      </c>
      <c r="D1896" s="5" t="s">
        <v>19</v>
      </c>
      <c r="E1896" s="5" t="s">
        <v>630</v>
      </c>
      <c r="F1896" s="9">
        <v>85</v>
      </c>
      <c r="G1896" s="9">
        <v>919</v>
      </c>
      <c r="H1896" s="5" t="s">
        <v>21</v>
      </c>
      <c r="I1896" s="5" t="s">
        <v>4912</v>
      </c>
      <c r="J1896" s="12" t="str">
        <f>HYPERLINK("https://www.boe.es/gazeta/dias/1803/10/21/pdfs/GMD-1803-85.pdf#page=11","Abrir facsímil")</f>
        <v>Abrir facsímil</v>
      </c>
      <c r="K1896" s="15" t="s">
        <v>23</v>
      </c>
    </row>
    <row r="1897" spans="1:11" ht="42" customHeight="1">
      <c r="A1897" s="4" t="s">
        <v>4913</v>
      </c>
      <c r="B1897" s="5" t="s">
        <v>4913</v>
      </c>
      <c r="C1897" s="5" t="s">
        <v>26</v>
      </c>
      <c r="D1897" s="5" t="s">
        <v>27</v>
      </c>
      <c r="E1897" s="5" t="s">
        <v>71</v>
      </c>
      <c r="F1897" s="9">
        <v>39</v>
      </c>
      <c r="G1897" s="9">
        <v>413</v>
      </c>
      <c r="H1897" s="5" t="s">
        <v>21</v>
      </c>
      <c r="I1897" s="5" t="s">
        <v>4914</v>
      </c>
      <c r="J1897" s="12" t="str">
        <f>HYPERLINK("https://www.boe.es/gazeta/dias/1803/05/17/pdfs/GMD-1803-39.pdf#page=9","Abrir facsímil")</f>
        <v>Abrir facsímil</v>
      </c>
      <c r="K1897" s="15" t="s">
        <v>23</v>
      </c>
    </row>
    <row r="1898" spans="1:11" ht="42" customHeight="1">
      <c r="A1898" s="4" t="s">
        <v>4915</v>
      </c>
      <c r="B1898" s="5" t="s">
        <v>4916</v>
      </c>
      <c r="C1898" s="5" t="s">
        <v>51</v>
      </c>
      <c r="D1898" s="5" t="s">
        <v>52</v>
      </c>
      <c r="E1898" s="5" t="s">
        <v>71</v>
      </c>
      <c r="F1898" s="9">
        <v>39</v>
      </c>
      <c r="G1898" s="9">
        <v>413</v>
      </c>
      <c r="H1898" s="5" t="s">
        <v>21</v>
      </c>
      <c r="I1898" s="5" t="s">
        <v>4917</v>
      </c>
      <c r="J1898" s="12" t="str">
        <f>HYPERLINK("https://www.boe.es/gazeta/dias/1803/05/17/pdfs/GMD-1803-39.pdf#page=9","Abrir facsímil")</f>
        <v>Abrir facsímil</v>
      </c>
      <c r="K1898" s="15" t="s">
        <v>23</v>
      </c>
    </row>
    <row r="1899" spans="1:11" ht="42" customHeight="1">
      <c r="A1899" s="4" t="s">
        <v>4918</v>
      </c>
      <c r="B1899" s="5" t="s">
        <v>4918</v>
      </c>
      <c r="C1899" s="5" t="s">
        <v>40</v>
      </c>
      <c r="D1899" s="5" t="s">
        <v>41</v>
      </c>
      <c r="E1899" s="5" t="s">
        <v>1279</v>
      </c>
      <c r="F1899" s="9">
        <v>3</v>
      </c>
      <c r="G1899" s="9">
        <v>24</v>
      </c>
      <c r="H1899" s="5" t="s">
        <v>21</v>
      </c>
      <c r="I1899" s="5" t="s">
        <v>4919</v>
      </c>
      <c r="J1899" s="12" t="str">
        <f>HYPERLINK("https://www.boe.es/gazeta/dias/1803/01/11/pdfs/GMD-1803-3.pdf#page=4","Abrir facsímil")</f>
        <v>Abrir facsímil</v>
      </c>
      <c r="K1899" s="15" t="s">
        <v>23</v>
      </c>
    </row>
    <row r="1900" spans="1:11" ht="42" customHeight="1">
      <c r="A1900" s="4" t="s">
        <v>4918</v>
      </c>
      <c r="B1900" s="5" t="s">
        <v>4918</v>
      </c>
      <c r="C1900" s="5" t="s">
        <v>40</v>
      </c>
      <c r="D1900" s="5" t="s">
        <v>41</v>
      </c>
      <c r="E1900" s="5" t="s">
        <v>99</v>
      </c>
      <c r="F1900" s="9">
        <v>29</v>
      </c>
      <c r="G1900" s="9">
        <v>306</v>
      </c>
      <c r="H1900" s="5" t="s">
        <v>21</v>
      </c>
      <c r="I1900" s="5" t="s">
        <v>4920</v>
      </c>
      <c r="J1900" s="12" t="str">
        <f>HYPERLINK("https://www.boe.es/gazeta/dias/1803/04/12/pdfs/GMD-1803-29.pdf#page=2","Abrir facsímil")</f>
        <v>Abrir facsímil</v>
      </c>
      <c r="K1900" s="15" t="s">
        <v>23</v>
      </c>
    </row>
    <row r="1901" spans="1:11" ht="42" customHeight="1">
      <c r="A1901" s="4" t="s">
        <v>4918</v>
      </c>
      <c r="B1901" s="5" t="s">
        <v>4918</v>
      </c>
      <c r="C1901" s="5" t="s">
        <v>80</v>
      </c>
      <c r="D1901" s="5" t="s">
        <v>81</v>
      </c>
      <c r="E1901" s="5" t="s">
        <v>178</v>
      </c>
      <c r="F1901" s="9">
        <v>36</v>
      </c>
      <c r="G1901" s="9">
        <v>373</v>
      </c>
      <c r="H1901" s="5" t="s">
        <v>21</v>
      </c>
      <c r="I1901" s="5" t="s">
        <v>4921</v>
      </c>
      <c r="J1901" s="12" t="str">
        <f>HYPERLINK("https://www.boe.es/gazeta/dias/1803/05/06/pdfs/GMD-1803-36.pdf#page=5","Abrir facsímil")</f>
        <v>Abrir facsímil</v>
      </c>
      <c r="K1901" s="15" t="s">
        <v>23</v>
      </c>
    </row>
    <row r="1902" spans="1:11" ht="42" customHeight="1">
      <c r="A1902" s="4" t="s">
        <v>4918</v>
      </c>
      <c r="B1902" s="5" t="s">
        <v>4918</v>
      </c>
      <c r="C1902" s="5" t="s">
        <v>40</v>
      </c>
      <c r="D1902" s="5" t="s">
        <v>41</v>
      </c>
      <c r="E1902" s="5" t="s">
        <v>93</v>
      </c>
      <c r="F1902" s="9">
        <v>43</v>
      </c>
      <c r="G1902" s="9">
        <v>446</v>
      </c>
      <c r="H1902" s="5" t="s">
        <v>21</v>
      </c>
      <c r="I1902" s="5" t="s">
        <v>4922</v>
      </c>
      <c r="J1902" s="12" t="str">
        <f>HYPERLINK("https://www.boe.es/gazeta/dias/1803/05/31/pdfs/GMD-1803-43.pdf#page=6","Abrir facsímil")</f>
        <v>Abrir facsímil</v>
      </c>
      <c r="K1902" s="15" t="s">
        <v>23</v>
      </c>
    </row>
    <row r="1903" spans="1:11" ht="42" customHeight="1">
      <c r="A1903" s="4" t="s">
        <v>4918</v>
      </c>
      <c r="B1903" s="5" t="s">
        <v>4918</v>
      </c>
      <c r="C1903" s="5" t="s">
        <v>40</v>
      </c>
      <c r="D1903" s="5" t="s">
        <v>41</v>
      </c>
      <c r="E1903" s="5" t="s">
        <v>328</v>
      </c>
      <c r="F1903" s="9">
        <v>54</v>
      </c>
      <c r="G1903" s="9">
        <v>582</v>
      </c>
      <c r="H1903" s="5" t="s">
        <v>21</v>
      </c>
      <c r="I1903" s="5" t="s">
        <v>4923</v>
      </c>
      <c r="J1903" s="12" t="str">
        <f>HYPERLINK("https://www.boe.es/gazeta/dias/1803/07/08/pdfs/GMD-1803-54.pdf#page=2","Abrir facsímil")</f>
        <v>Abrir facsímil</v>
      </c>
      <c r="K1903" s="15" t="s">
        <v>23</v>
      </c>
    </row>
    <row r="1904" spans="1:11" ht="42" customHeight="1">
      <c r="A1904" s="4" t="s">
        <v>4918</v>
      </c>
      <c r="B1904" s="5" t="s">
        <v>4918</v>
      </c>
      <c r="C1904" s="5" t="s">
        <v>26</v>
      </c>
      <c r="D1904" s="5" t="s">
        <v>27</v>
      </c>
      <c r="E1904" s="5" t="s">
        <v>328</v>
      </c>
      <c r="F1904" s="9">
        <v>54</v>
      </c>
      <c r="G1904" s="9">
        <v>587</v>
      </c>
      <c r="H1904" s="5" t="s">
        <v>21</v>
      </c>
      <c r="I1904" s="5" t="s">
        <v>4924</v>
      </c>
      <c r="J1904" s="12" t="str">
        <f>HYPERLINK("https://www.boe.es/gazeta/dias/1803/07/08/pdfs/GMD-1803-54.pdf#page=7","Abrir facsímil")</f>
        <v>Abrir facsímil</v>
      </c>
      <c r="K1904" s="15" t="s">
        <v>23</v>
      </c>
    </row>
    <row r="1905" spans="1:11" ht="42" customHeight="1">
      <c r="A1905" s="4" t="s">
        <v>4918</v>
      </c>
      <c r="B1905" s="5" t="s">
        <v>4918</v>
      </c>
      <c r="C1905" s="5" t="s">
        <v>51</v>
      </c>
      <c r="D1905" s="5" t="s">
        <v>52</v>
      </c>
      <c r="E1905" s="5" t="s">
        <v>340</v>
      </c>
      <c r="F1905" s="9">
        <v>55</v>
      </c>
      <c r="G1905" s="9">
        <v>596</v>
      </c>
      <c r="H1905" s="5" t="s">
        <v>21</v>
      </c>
      <c r="I1905" s="5" t="s">
        <v>4925</v>
      </c>
      <c r="J1905" s="12" t="str">
        <f>HYPERLINK("https://www.boe.es/gazeta/dias/1803/07/12/pdfs/GMD-1803-55.pdf#page=4","Abrir facsímil")</f>
        <v>Abrir facsímil</v>
      </c>
      <c r="K1905" s="15" t="s">
        <v>23</v>
      </c>
    </row>
    <row r="1906" spans="1:11" ht="42" customHeight="1">
      <c r="A1906" s="4" t="s">
        <v>4918</v>
      </c>
      <c r="B1906" s="5" t="s">
        <v>4918</v>
      </c>
      <c r="C1906" s="5" t="s">
        <v>51</v>
      </c>
      <c r="D1906" s="5" t="s">
        <v>52</v>
      </c>
      <c r="E1906" s="5" t="s">
        <v>340</v>
      </c>
      <c r="F1906" s="9">
        <v>55</v>
      </c>
      <c r="G1906" s="9">
        <v>597</v>
      </c>
      <c r="H1906" s="5" t="s">
        <v>21</v>
      </c>
      <c r="I1906" s="5" t="s">
        <v>4926</v>
      </c>
      <c r="J1906" s="12" t="str">
        <f>HYPERLINK("https://www.boe.es/gazeta/dias/1803/07/12/pdfs/GMD-1803-55.pdf#page=5","Abrir facsímil")</f>
        <v>Abrir facsímil</v>
      </c>
      <c r="K1906" s="15" t="s">
        <v>23</v>
      </c>
    </row>
    <row r="1907" spans="1:11" ht="42" customHeight="1">
      <c r="A1907" s="4" t="s">
        <v>4918</v>
      </c>
      <c r="B1907" s="5" t="s">
        <v>4918</v>
      </c>
      <c r="C1907" s="5" t="s">
        <v>40</v>
      </c>
      <c r="D1907" s="5" t="s">
        <v>41</v>
      </c>
      <c r="E1907" s="5" t="s">
        <v>61</v>
      </c>
      <c r="F1907" s="9">
        <v>67</v>
      </c>
      <c r="G1907" s="9">
        <v>724</v>
      </c>
      <c r="H1907" s="5" t="s">
        <v>21</v>
      </c>
      <c r="I1907" s="5" t="s">
        <v>4927</v>
      </c>
      <c r="J1907" s="12" t="str">
        <f>HYPERLINK("https://www.boe.es/gazeta/dias/1803/08/23/pdfs/GMD-1803-67.pdf#page=4","Abrir facsímil")</f>
        <v>Abrir facsímil</v>
      </c>
      <c r="K1907" s="15" t="s">
        <v>23</v>
      </c>
    </row>
    <row r="1908" spans="1:11" ht="42" customHeight="1">
      <c r="A1908" s="4" t="s">
        <v>4918</v>
      </c>
      <c r="B1908" s="5" t="s">
        <v>4918</v>
      </c>
      <c r="C1908" s="5" t="s">
        <v>40</v>
      </c>
      <c r="D1908" s="5" t="s">
        <v>41</v>
      </c>
      <c r="E1908" s="5" t="s">
        <v>61</v>
      </c>
      <c r="F1908" s="9">
        <v>67</v>
      </c>
      <c r="G1908" s="9">
        <v>725</v>
      </c>
      <c r="H1908" s="5" t="s">
        <v>21</v>
      </c>
      <c r="I1908" s="5" t="s">
        <v>4928</v>
      </c>
      <c r="J1908" s="12" t="str">
        <f>HYPERLINK("https://www.boe.es/gazeta/dias/1803/08/23/pdfs/GMD-1803-67.pdf#page=5","Abrir facsímil")</f>
        <v>Abrir facsímil</v>
      </c>
      <c r="K1908" s="15" t="s">
        <v>23</v>
      </c>
    </row>
    <row r="1909" spans="1:11" ht="42" customHeight="1">
      <c r="A1909" s="4" t="s">
        <v>4918</v>
      </c>
      <c r="B1909" s="5" t="s">
        <v>4918</v>
      </c>
      <c r="C1909" s="5" t="s">
        <v>40</v>
      </c>
      <c r="D1909" s="5" t="s">
        <v>41</v>
      </c>
      <c r="E1909" s="5" t="s">
        <v>261</v>
      </c>
      <c r="F1909" s="9">
        <v>70</v>
      </c>
      <c r="G1909" s="9">
        <v>763</v>
      </c>
      <c r="H1909" s="5" t="s">
        <v>21</v>
      </c>
      <c r="I1909" s="5" t="s">
        <v>4929</v>
      </c>
      <c r="J1909" s="12" t="str">
        <f>HYPERLINK("https://www.boe.es/gazeta/dias/1803/09/02/pdfs/GMD-1803-70.pdf#page=3","Abrir facsímil")</f>
        <v>Abrir facsímil</v>
      </c>
      <c r="K1909" s="15" t="s">
        <v>23</v>
      </c>
    </row>
    <row r="1910" spans="1:11" ht="42" customHeight="1">
      <c r="A1910" s="4" t="s">
        <v>4918</v>
      </c>
      <c r="B1910" s="5" t="s">
        <v>4918</v>
      </c>
      <c r="C1910" s="5" t="s">
        <v>26</v>
      </c>
      <c r="D1910" s="5" t="s">
        <v>27</v>
      </c>
      <c r="E1910" s="5" t="s">
        <v>261</v>
      </c>
      <c r="F1910" s="9">
        <v>70</v>
      </c>
      <c r="G1910" s="9">
        <v>764</v>
      </c>
      <c r="H1910" s="5" t="s">
        <v>21</v>
      </c>
      <c r="I1910" s="5" t="s">
        <v>4930</v>
      </c>
      <c r="J1910" s="12" t="str">
        <f>HYPERLINK("https://www.boe.es/gazeta/dias/1803/09/02/pdfs/GMD-1803-70.pdf#page=4","Abrir facsímil")</f>
        <v>Abrir facsímil</v>
      </c>
      <c r="K1910" s="15" t="s">
        <v>23</v>
      </c>
    </row>
    <row r="1911" spans="1:11" ht="42" customHeight="1">
      <c r="A1911" s="4" t="s">
        <v>4931</v>
      </c>
      <c r="B1911" s="5" t="s">
        <v>4932</v>
      </c>
      <c r="C1911" s="5" t="s">
        <v>40</v>
      </c>
      <c r="D1911" s="5" t="s">
        <v>41</v>
      </c>
      <c r="E1911" s="5" t="s">
        <v>218</v>
      </c>
      <c r="F1911" s="9">
        <v>19</v>
      </c>
      <c r="G1911" s="9">
        <v>196</v>
      </c>
      <c r="H1911" s="5" t="s">
        <v>21</v>
      </c>
      <c r="I1911" s="5" t="s">
        <v>4933</v>
      </c>
      <c r="J1911" s="12" t="str">
        <f>HYPERLINK("https://www.boe.es/gazeta/dias/1803/03/08/pdfs/GMD-1803-19.pdf#page=4","Abrir facsímil")</f>
        <v>Abrir facsímil</v>
      </c>
      <c r="K1911" s="15" t="s">
        <v>23</v>
      </c>
    </row>
    <row r="1912" spans="1:11" ht="42" customHeight="1">
      <c r="A1912" s="4" t="s">
        <v>4931</v>
      </c>
      <c r="B1912" s="5" t="s">
        <v>4932</v>
      </c>
      <c r="C1912" s="5" t="s">
        <v>40</v>
      </c>
      <c r="D1912" s="5" t="s">
        <v>41</v>
      </c>
      <c r="E1912" s="5" t="s">
        <v>53</v>
      </c>
      <c r="F1912" s="9">
        <v>99</v>
      </c>
      <c r="G1912" s="9">
        <v>1056</v>
      </c>
      <c r="H1912" s="5" t="s">
        <v>21</v>
      </c>
      <c r="I1912" s="5" t="s">
        <v>4934</v>
      </c>
      <c r="J1912" s="12" t="str">
        <f>HYPERLINK("https://www.boe.es/gazeta/dias/1803/12/09/pdfs/GMD-1803-99.pdf#page=4","Abrir facsímil")</f>
        <v>Abrir facsímil</v>
      </c>
      <c r="K1912" s="15" t="s">
        <v>23</v>
      </c>
    </row>
    <row r="1913" spans="1:11" ht="42" customHeight="1">
      <c r="A1913" s="4" t="s">
        <v>4935</v>
      </c>
      <c r="B1913" s="5" t="s">
        <v>4935</v>
      </c>
      <c r="C1913" s="5" t="s">
        <v>18</v>
      </c>
      <c r="D1913" s="5" t="s">
        <v>19</v>
      </c>
      <c r="E1913" s="5" t="s">
        <v>571</v>
      </c>
      <c r="F1913" s="9">
        <v>103</v>
      </c>
      <c r="G1913" s="9">
        <v>1107</v>
      </c>
      <c r="H1913" s="5" t="s">
        <v>21</v>
      </c>
      <c r="I1913" s="5" t="s">
        <v>4936</v>
      </c>
      <c r="J1913" s="12" t="str">
        <f>HYPERLINK("https://www.boe.es/gazeta/dias/1803/12/23/pdfs/GMD-1803-103.pdf#page=7","Abrir facsímil")</f>
        <v>Abrir facsímil</v>
      </c>
      <c r="K1913" s="15" t="s">
        <v>23</v>
      </c>
    </row>
    <row r="1914" spans="1:11" ht="42" customHeight="1">
      <c r="A1914" s="4" t="s">
        <v>4937</v>
      </c>
      <c r="B1914" s="5" t="s">
        <v>4937</v>
      </c>
      <c r="C1914" s="5" t="s">
        <v>26</v>
      </c>
      <c r="D1914" s="5" t="s">
        <v>27</v>
      </c>
      <c r="E1914" s="5" t="s">
        <v>218</v>
      </c>
      <c r="F1914" s="9">
        <v>19</v>
      </c>
      <c r="G1914" s="9">
        <v>202</v>
      </c>
      <c r="H1914" s="5" t="s">
        <v>21</v>
      </c>
      <c r="I1914" s="5" t="s">
        <v>4938</v>
      </c>
      <c r="J1914" s="12" t="str">
        <f>HYPERLINK("https://www.boe.es/gazeta/dias/1803/03/08/pdfs/GMD-1803-19.pdf#page=10","Abrir facsímil")</f>
        <v>Abrir facsímil</v>
      </c>
      <c r="K1914" s="15" t="s">
        <v>23</v>
      </c>
    </row>
    <row r="1915" spans="1:11" ht="42" customHeight="1">
      <c r="A1915" s="4" t="s">
        <v>4939</v>
      </c>
      <c r="B1915" s="5" t="s">
        <v>4940</v>
      </c>
      <c r="C1915" s="5" t="s">
        <v>51</v>
      </c>
      <c r="D1915" s="5" t="s">
        <v>52</v>
      </c>
      <c r="E1915" s="5" t="s">
        <v>289</v>
      </c>
      <c r="F1915" s="9">
        <v>38</v>
      </c>
      <c r="G1915" s="9">
        <v>401</v>
      </c>
      <c r="H1915" s="5" t="s">
        <v>21</v>
      </c>
      <c r="I1915" s="5" t="s">
        <v>4941</v>
      </c>
      <c r="J1915" s="12" t="str">
        <f>HYPERLINK("https://www.boe.es/gazeta/dias/1803/05/13/pdfs/GMD-1803-38.pdf#page=9","Abrir facsímil")</f>
        <v>Abrir facsímil</v>
      </c>
      <c r="K1915" s="15" t="s">
        <v>23</v>
      </c>
    </row>
    <row r="1916" spans="1:11" ht="42" customHeight="1">
      <c r="A1916" s="4" t="s">
        <v>4942</v>
      </c>
      <c r="B1916" s="5" t="s">
        <v>4942</v>
      </c>
      <c r="C1916" s="5" t="s">
        <v>40</v>
      </c>
      <c r="D1916" s="5" t="s">
        <v>41</v>
      </c>
      <c r="E1916" s="5" t="s">
        <v>480</v>
      </c>
      <c r="F1916" s="9">
        <v>87</v>
      </c>
      <c r="G1916" s="9">
        <v>938</v>
      </c>
      <c r="H1916" s="5" t="s">
        <v>21</v>
      </c>
      <c r="I1916" s="5" t="s">
        <v>4943</v>
      </c>
      <c r="J1916" s="12" t="str">
        <f>HYPERLINK("https://www.boe.es/gazeta/dias/1803/10/28/pdfs/GMD-1803-87.pdf#page=6","Abrir facsímil")</f>
        <v>Abrir facsímil</v>
      </c>
      <c r="K1916" s="15" t="s">
        <v>23</v>
      </c>
    </row>
    <row r="1917" spans="1:11" ht="42" customHeight="1">
      <c r="A1917" s="4" t="s">
        <v>4944</v>
      </c>
      <c r="B1917" s="5" t="s">
        <v>4944</v>
      </c>
      <c r="C1917" s="5" t="s">
        <v>40</v>
      </c>
      <c r="D1917" s="5" t="s">
        <v>41</v>
      </c>
      <c r="E1917" s="5" t="s">
        <v>752</v>
      </c>
      <c r="F1917" s="9">
        <v>30</v>
      </c>
      <c r="G1917" s="9">
        <v>315</v>
      </c>
      <c r="H1917" s="5" t="s">
        <v>21</v>
      </c>
      <c r="I1917" s="5" t="s">
        <v>4945</v>
      </c>
      <c r="J1917" s="12" t="str">
        <f>HYPERLINK("https://www.boe.es/gazeta/dias/1803/04/15/pdfs/GMD-1803-30.pdf#page=3","Abrir facsímil")</f>
        <v>Abrir facsímil</v>
      </c>
      <c r="K1917" s="15" t="s">
        <v>23</v>
      </c>
    </row>
    <row r="1918" spans="1:11" ht="42" customHeight="1">
      <c r="A1918" s="4" t="s">
        <v>4944</v>
      </c>
      <c r="B1918" s="5" t="s">
        <v>4944</v>
      </c>
      <c r="C1918" s="5" t="s">
        <v>40</v>
      </c>
      <c r="D1918" s="5" t="s">
        <v>41</v>
      </c>
      <c r="E1918" s="5" t="s">
        <v>71</v>
      </c>
      <c r="F1918" s="9">
        <v>39</v>
      </c>
      <c r="G1918" s="9">
        <v>407</v>
      </c>
      <c r="H1918" s="5" t="s">
        <v>21</v>
      </c>
      <c r="I1918" s="5" t="s">
        <v>4946</v>
      </c>
      <c r="J1918" s="12" t="str">
        <f>HYPERLINK("https://www.boe.es/gazeta/dias/1803/05/17/pdfs/GMD-1803-39.pdf#page=3","Abrir facsímil")</f>
        <v>Abrir facsímil</v>
      </c>
      <c r="K1918" s="15" t="s">
        <v>23</v>
      </c>
    </row>
    <row r="1919" spans="1:11" ht="42" customHeight="1">
      <c r="A1919" s="4" t="s">
        <v>4947</v>
      </c>
      <c r="B1919" s="5" t="s">
        <v>4948</v>
      </c>
      <c r="C1919" s="5" t="s">
        <v>46</v>
      </c>
      <c r="D1919" s="5" t="s">
        <v>19</v>
      </c>
      <c r="E1919" s="5" t="s">
        <v>124</v>
      </c>
      <c r="F1919" s="9">
        <v>20</v>
      </c>
      <c r="G1919" s="9">
        <v>211</v>
      </c>
      <c r="H1919" s="5" t="s">
        <v>21</v>
      </c>
      <c r="I1919" s="5" t="s">
        <v>4949</v>
      </c>
      <c r="J1919" s="12" t="str">
        <f>HYPERLINK("https://www.boe.es/gazeta/dias/1803/03/11/pdfs/GMD-1803-20.pdf#page=7","Abrir facsímil")</f>
        <v>Abrir facsímil</v>
      </c>
      <c r="K1919" s="15" t="s">
        <v>23</v>
      </c>
    </row>
    <row r="1920" spans="1:11" ht="42" customHeight="1">
      <c r="A1920" s="4" t="s">
        <v>4950</v>
      </c>
      <c r="B1920" s="5" t="s">
        <v>4950</v>
      </c>
      <c r="C1920" s="5" t="s">
        <v>18</v>
      </c>
      <c r="D1920" s="5" t="s">
        <v>19</v>
      </c>
      <c r="E1920" s="5" t="s">
        <v>124</v>
      </c>
      <c r="F1920" s="9">
        <v>20</v>
      </c>
      <c r="G1920" s="9">
        <v>209</v>
      </c>
      <c r="H1920" s="5" t="s">
        <v>21</v>
      </c>
      <c r="I1920" s="5" t="s">
        <v>4951</v>
      </c>
      <c r="J1920" s="12" t="str">
        <f>HYPERLINK("https://www.boe.es/gazeta/dias/1803/03/11/pdfs/GMD-1803-20.pdf#page=5","Abrir facsímil")</f>
        <v>Abrir facsímil</v>
      </c>
      <c r="K1920" s="15" t="s">
        <v>23</v>
      </c>
    </row>
    <row r="1921" spans="1:11" ht="42" customHeight="1">
      <c r="A1921" s="4" t="s">
        <v>4952</v>
      </c>
      <c r="B1921" s="5" t="s">
        <v>4952</v>
      </c>
      <c r="C1921" s="5" t="s">
        <v>80</v>
      </c>
      <c r="D1921" s="5" t="s">
        <v>81</v>
      </c>
      <c r="E1921" s="5" t="s">
        <v>317</v>
      </c>
      <c r="F1921" s="9">
        <v>12</v>
      </c>
      <c r="G1921" s="9">
        <v>123</v>
      </c>
      <c r="H1921" s="5" t="s">
        <v>21</v>
      </c>
      <c r="I1921" s="5" t="s">
        <v>4953</v>
      </c>
      <c r="J1921" s="12" t="str">
        <f>HYPERLINK("https://www.boe.es/gazeta/dias/1803/02/11/pdfs/GMD-1803-12.pdf#page=11","Abrir facsímil")</f>
        <v>Abrir facsímil</v>
      </c>
      <c r="K1921" s="15" t="s">
        <v>23</v>
      </c>
    </row>
    <row r="1922" spans="1:11" ht="42" customHeight="1">
      <c r="A1922" s="4" t="s">
        <v>4954</v>
      </c>
      <c r="B1922" s="5" t="s">
        <v>4955</v>
      </c>
      <c r="C1922" s="5" t="s">
        <v>46</v>
      </c>
      <c r="D1922" s="5" t="s">
        <v>19</v>
      </c>
      <c r="E1922" s="5" t="s">
        <v>439</v>
      </c>
      <c r="F1922" s="9">
        <v>76</v>
      </c>
      <c r="G1922" s="9">
        <v>822</v>
      </c>
      <c r="H1922" s="5" t="s">
        <v>21</v>
      </c>
      <c r="I1922" s="5" t="s">
        <v>4956</v>
      </c>
      <c r="J1922" s="12" t="str">
        <f>HYPERLINK("https://www.boe.es/gazeta/dias/1803/09/20/pdfs/GMD-1803-76.pdf#page=10","Abrir facsímil")</f>
        <v>Abrir facsímil</v>
      </c>
      <c r="K1922" s="15" t="s">
        <v>23</v>
      </c>
    </row>
    <row r="1923" spans="1:11" ht="42" customHeight="1">
      <c r="A1923" s="4" t="s">
        <v>4957</v>
      </c>
      <c r="B1923" s="5" t="s">
        <v>4957</v>
      </c>
      <c r="C1923" s="5" t="s">
        <v>18</v>
      </c>
      <c r="D1923" s="5" t="s">
        <v>19</v>
      </c>
      <c r="E1923" s="5" t="s">
        <v>203</v>
      </c>
      <c r="F1923" s="9">
        <v>32</v>
      </c>
      <c r="G1923" s="9">
        <v>336</v>
      </c>
      <c r="H1923" s="5" t="s">
        <v>21</v>
      </c>
      <c r="I1923" s="5" t="s">
        <v>4958</v>
      </c>
      <c r="J1923" s="12" t="str">
        <f>HYPERLINK("https://www.boe.es/gazeta/dias/1803/04/22/pdfs/GMD-1803-32.pdf#page=8","Abrir facsímil")</f>
        <v>Abrir facsímil</v>
      </c>
      <c r="K1923" s="15" t="s">
        <v>23</v>
      </c>
    </row>
    <row r="1924" spans="1:11" ht="42" customHeight="1">
      <c r="A1924" s="4" t="s">
        <v>4959</v>
      </c>
      <c r="B1924" s="5" t="s">
        <v>4960</v>
      </c>
      <c r="C1924" s="5" t="s">
        <v>40</v>
      </c>
      <c r="D1924" s="5" t="s">
        <v>41</v>
      </c>
      <c r="E1924" s="5" t="s">
        <v>317</v>
      </c>
      <c r="F1924" s="9">
        <v>12</v>
      </c>
      <c r="G1924" s="9">
        <v>114</v>
      </c>
      <c r="H1924" s="5" t="s">
        <v>21</v>
      </c>
      <c r="I1924" s="5" t="s">
        <v>4961</v>
      </c>
      <c r="J1924" s="12" t="str">
        <f>HYPERLINK("https://www.boe.es/gazeta/dias/1803/02/11/pdfs/GMD-1803-12.pdf#page=2","Abrir facsímil")</f>
        <v>Abrir facsímil</v>
      </c>
      <c r="K1924" s="15" t="s">
        <v>23</v>
      </c>
    </row>
    <row r="1925" spans="1:11" ht="42" customHeight="1">
      <c r="A1925" s="4" t="s">
        <v>4962</v>
      </c>
      <c r="B1925" s="5" t="s">
        <v>4962</v>
      </c>
      <c r="C1925" s="5" t="s">
        <v>40</v>
      </c>
      <c r="D1925" s="5" t="s">
        <v>41</v>
      </c>
      <c r="E1925" s="5" t="s">
        <v>132</v>
      </c>
      <c r="F1925" s="9">
        <v>58</v>
      </c>
      <c r="G1925" s="9">
        <v>639</v>
      </c>
      <c r="H1925" s="5" t="s">
        <v>21</v>
      </c>
      <c r="I1925" s="5" t="s">
        <v>4963</v>
      </c>
      <c r="J1925" s="12" t="str">
        <f>HYPERLINK("https://www.boe.es/gazeta/dias/1803/07/22/pdfs/GMD-1803-58.pdf#page=11","Abrir facsímil")</f>
        <v>Abrir facsímil</v>
      </c>
      <c r="K1925" s="15" t="s">
        <v>23</v>
      </c>
    </row>
    <row r="1926" spans="1:11" ht="42" customHeight="1">
      <c r="A1926" s="4" t="s">
        <v>4964</v>
      </c>
      <c r="B1926" s="5" t="s">
        <v>4964</v>
      </c>
      <c r="C1926" s="5" t="s">
        <v>26</v>
      </c>
      <c r="D1926" s="5" t="s">
        <v>27</v>
      </c>
      <c r="E1926" s="5" t="s">
        <v>36</v>
      </c>
      <c r="F1926" s="9">
        <v>79</v>
      </c>
      <c r="G1926" s="9">
        <v>855</v>
      </c>
      <c r="H1926" s="5" t="s">
        <v>21</v>
      </c>
      <c r="I1926" s="5" t="s">
        <v>4965</v>
      </c>
      <c r="J1926" s="12" t="str">
        <f>HYPERLINK("https://www.boe.es/gazeta/dias/1803/09/30/pdfs/GMD-1803-79.pdf#page=7","Abrir facsímil")</f>
        <v>Abrir facsímil</v>
      </c>
      <c r="K1926" s="15" t="s">
        <v>23</v>
      </c>
    </row>
    <row r="1927" spans="1:11" ht="42" customHeight="1">
      <c r="A1927" s="4" t="s">
        <v>4966</v>
      </c>
      <c r="B1927" s="5" t="s">
        <v>4966</v>
      </c>
      <c r="C1927" s="5" t="s">
        <v>40</v>
      </c>
      <c r="D1927" s="5" t="s">
        <v>41</v>
      </c>
      <c r="E1927" s="5" t="s">
        <v>407</v>
      </c>
      <c r="F1927" s="9">
        <v>82</v>
      </c>
      <c r="G1927" s="9">
        <v>886</v>
      </c>
      <c r="H1927" s="5" t="s">
        <v>21</v>
      </c>
      <c r="I1927" s="5" t="s">
        <v>4967</v>
      </c>
      <c r="J1927" s="12" t="str">
        <f>HYPERLINK("https://www.boe.es/gazeta/dias/1803/10/11/pdfs/GMD-1803-82.pdf#page=10","Abrir facsímil")</f>
        <v>Abrir facsímil</v>
      </c>
      <c r="K1927" s="15" t="s">
        <v>23</v>
      </c>
    </row>
    <row r="1928" spans="1:11" ht="42" customHeight="1">
      <c r="A1928" s="4" t="s">
        <v>4968</v>
      </c>
      <c r="B1928" s="5" t="s">
        <v>4968</v>
      </c>
      <c r="C1928" s="5" t="s">
        <v>26</v>
      </c>
      <c r="D1928" s="5" t="s">
        <v>27</v>
      </c>
      <c r="E1928" s="5" t="s">
        <v>211</v>
      </c>
      <c r="F1928" s="9">
        <v>71</v>
      </c>
      <c r="G1928" s="9">
        <v>778</v>
      </c>
      <c r="H1928" s="5" t="s">
        <v>21</v>
      </c>
      <c r="I1928" s="5" t="s">
        <v>4969</v>
      </c>
      <c r="J1928" s="12" t="str">
        <f>HYPERLINK("https://www.boe.es/gazeta/dias/1803/09/06/pdfs/GMD-1803-71.pdf#page=10","Abrir facsímil")</f>
        <v>Abrir facsímil</v>
      </c>
      <c r="K1928" s="15" t="s">
        <v>23</v>
      </c>
    </row>
    <row r="1929" spans="1:11" ht="42" customHeight="1">
      <c r="A1929" s="4" t="s">
        <v>4970</v>
      </c>
      <c r="B1929" s="5" t="s">
        <v>4971</v>
      </c>
      <c r="C1929" s="5" t="s">
        <v>26</v>
      </c>
      <c r="D1929" s="5" t="s">
        <v>27</v>
      </c>
      <c r="E1929" s="5" t="s">
        <v>439</v>
      </c>
      <c r="F1929" s="9">
        <v>76</v>
      </c>
      <c r="G1929" s="9">
        <v>822</v>
      </c>
      <c r="H1929" s="5" t="s">
        <v>21</v>
      </c>
      <c r="I1929" s="5" t="s">
        <v>4972</v>
      </c>
      <c r="J1929" s="12" t="str">
        <f>HYPERLINK("https://www.boe.es/gazeta/dias/1803/09/20/pdfs/GMD-1803-76.pdf#page=10","Abrir facsímil")</f>
        <v>Abrir facsímil</v>
      </c>
      <c r="K1929" s="15" t="s">
        <v>23</v>
      </c>
    </row>
    <row r="1930" spans="1:11" ht="42" customHeight="1">
      <c r="A1930" s="4" t="s">
        <v>4973</v>
      </c>
      <c r="B1930" s="5" t="s">
        <v>4974</v>
      </c>
      <c r="C1930" s="5" t="s">
        <v>51</v>
      </c>
      <c r="D1930" s="5" t="s">
        <v>52</v>
      </c>
      <c r="E1930" s="5" t="s">
        <v>4176</v>
      </c>
      <c r="F1930" s="9">
        <v>52</v>
      </c>
      <c r="G1930" s="9">
        <v>558</v>
      </c>
      <c r="H1930" s="5" t="s">
        <v>21</v>
      </c>
      <c r="I1930" s="5" t="s">
        <v>4975</v>
      </c>
      <c r="J1930" s="12" t="str">
        <f>HYPERLINK("https://www.boe.es/gazeta/dias/1803/07/01/pdfs/GMD-1803-52.pdf#page=2","Abrir facsímil")</f>
        <v>Abrir facsímil</v>
      </c>
      <c r="K1930" s="15" t="s">
        <v>23</v>
      </c>
    </row>
    <row r="1931" spans="1:11" ht="42" customHeight="1">
      <c r="A1931" s="4" t="s">
        <v>4976</v>
      </c>
      <c r="B1931" s="5" t="s">
        <v>4977</v>
      </c>
      <c r="C1931" s="5" t="s">
        <v>40</v>
      </c>
      <c r="D1931" s="5" t="s">
        <v>41</v>
      </c>
      <c r="E1931" s="5" t="s">
        <v>373</v>
      </c>
      <c r="F1931" s="9">
        <v>77</v>
      </c>
      <c r="G1931" s="9">
        <v>832</v>
      </c>
      <c r="H1931" s="5" t="s">
        <v>21</v>
      </c>
      <c r="I1931" s="5" t="s">
        <v>4978</v>
      </c>
      <c r="J1931" s="12" t="str">
        <f>HYPERLINK("https://www.boe.es/gazeta/dias/1803/09/23/pdfs/GMD-1803-77.pdf#page=8","Abrir facsímil")</f>
        <v>Abrir facsímil</v>
      </c>
      <c r="K1931" s="15" t="s">
        <v>23</v>
      </c>
    </row>
    <row r="1932" spans="1:11" ht="42" customHeight="1">
      <c r="A1932" s="4" t="s">
        <v>4979</v>
      </c>
      <c r="B1932" s="5" t="s">
        <v>4979</v>
      </c>
      <c r="C1932" s="5" t="s">
        <v>26</v>
      </c>
      <c r="D1932" s="5" t="s">
        <v>27</v>
      </c>
      <c r="E1932" s="5" t="s">
        <v>88</v>
      </c>
      <c r="F1932" s="9">
        <v>18</v>
      </c>
      <c r="G1932" s="9">
        <v>188</v>
      </c>
      <c r="H1932" s="5" t="s">
        <v>21</v>
      </c>
      <c r="I1932" s="5" t="s">
        <v>4980</v>
      </c>
      <c r="J1932" s="12" t="str">
        <f>HYPERLINK("https://www.boe.es/gazeta/dias/1803/03/04/pdfs/GMD-1803-18.pdf#page=8","Abrir facsímil")</f>
        <v>Abrir facsímil</v>
      </c>
      <c r="K1932" s="15" t="s">
        <v>23</v>
      </c>
    </row>
    <row r="1933" spans="1:11" ht="42" customHeight="1">
      <c r="A1933" s="4" t="s">
        <v>4981</v>
      </c>
      <c r="B1933" s="5" t="s">
        <v>4981</v>
      </c>
      <c r="C1933" s="5" t="s">
        <v>51</v>
      </c>
      <c r="D1933" s="5" t="s">
        <v>52</v>
      </c>
      <c r="E1933" s="5" t="s">
        <v>609</v>
      </c>
      <c r="F1933" s="9">
        <v>57</v>
      </c>
      <c r="G1933" s="9">
        <v>619</v>
      </c>
      <c r="H1933" s="5" t="s">
        <v>21</v>
      </c>
      <c r="I1933" s="5" t="s">
        <v>4982</v>
      </c>
      <c r="J1933" s="12" t="str">
        <f>HYPERLINK("https://www.boe.es/gazeta/dias/1803/07/19/pdfs/GMD-1803-57.pdf#page=7","Abrir facsímil")</f>
        <v>Abrir facsímil</v>
      </c>
      <c r="K1933" s="15" t="s">
        <v>23</v>
      </c>
    </row>
    <row r="1934" spans="1:11" ht="42" customHeight="1">
      <c r="A1934" s="4" t="s">
        <v>4983</v>
      </c>
      <c r="B1934" s="5" t="s">
        <v>4984</v>
      </c>
      <c r="C1934" s="5" t="s">
        <v>51</v>
      </c>
      <c r="D1934" s="5" t="s">
        <v>52</v>
      </c>
      <c r="E1934" s="5" t="s">
        <v>189</v>
      </c>
      <c r="F1934" s="9">
        <v>9</v>
      </c>
      <c r="G1934" s="9">
        <v>92</v>
      </c>
      <c r="H1934" s="5" t="s">
        <v>21</v>
      </c>
      <c r="I1934" s="5" t="s">
        <v>4985</v>
      </c>
      <c r="J1934" s="12" t="str">
        <f>HYPERLINK("https://www.boe.es/gazeta/dias/1803/02/01/pdfs/GMD-1803-9.pdf#page=8","Abrir facsímil")</f>
        <v>Abrir facsímil</v>
      </c>
      <c r="K1934" s="15" t="s">
        <v>23</v>
      </c>
    </row>
    <row r="1935" spans="1:11" ht="42" customHeight="1">
      <c r="A1935" s="4" t="s">
        <v>4986</v>
      </c>
      <c r="B1935" s="5" t="s">
        <v>4987</v>
      </c>
      <c r="C1935" s="5" t="s">
        <v>51</v>
      </c>
      <c r="D1935" s="5" t="s">
        <v>52</v>
      </c>
      <c r="E1935" s="5" t="s">
        <v>71</v>
      </c>
      <c r="F1935" s="9">
        <v>39</v>
      </c>
      <c r="G1935" s="9">
        <v>412</v>
      </c>
      <c r="H1935" s="5" t="s">
        <v>21</v>
      </c>
      <c r="I1935" s="5" t="s">
        <v>4988</v>
      </c>
      <c r="J1935" s="12" t="str">
        <f>HYPERLINK("https://www.boe.es/gazeta/dias/1803/05/17/pdfs/GMD-1803-39.pdf#page=8","Abrir facsímil")</f>
        <v>Abrir facsímil</v>
      </c>
      <c r="K1935" s="15" t="s">
        <v>23</v>
      </c>
    </row>
    <row r="1936" spans="1:11" ht="42" customHeight="1">
      <c r="A1936" s="4" t="s">
        <v>4989</v>
      </c>
      <c r="B1936" s="5" t="s">
        <v>4990</v>
      </c>
      <c r="C1936" s="5" t="s">
        <v>26</v>
      </c>
      <c r="D1936" s="5" t="s">
        <v>27</v>
      </c>
      <c r="E1936" s="5" t="s">
        <v>336</v>
      </c>
      <c r="F1936" s="9">
        <v>105</v>
      </c>
      <c r="G1936" s="9">
        <v>1121</v>
      </c>
      <c r="H1936" s="5" t="s">
        <v>21</v>
      </c>
      <c r="I1936" s="5" t="s">
        <v>4991</v>
      </c>
      <c r="J1936" s="12" t="str">
        <f>HYPERLINK("https://www.boe.es/gazeta/dias/1803/12/30/pdfs/GMD-1803-105.pdf#page=5","Abrir facsímil")</f>
        <v>Abrir facsímil</v>
      </c>
      <c r="K1936" s="15" t="s">
        <v>23</v>
      </c>
    </row>
    <row r="1937" spans="1:11" ht="42" customHeight="1">
      <c r="A1937" s="4" t="s">
        <v>4992</v>
      </c>
      <c r="B1937" s="5" t="s">
        <v>4992</v>
      </c>
      <c r="C1937" s="5" t="s">
        <v>26</v>
      </c>
      <c r="D1937" s="5" t="s">
        <v>27</v>
      </c>
      <c r="E1937" s="5" t="s">
        <v>328</v>
      </c>
      <c r="F1937" s="9">
        <v>54</v>
      </c>
      <c r="G1937" s="9">
        <v>590</v>
      </c>
      <c r="H1937" s="5" t="s">
        <v>21</v>
      </c>
      <c r="I1937" s="5" t="s">
        <v>4993</v>
      </c>
      <c r="J1937" s="12" t="str">
        <f>HYPERLINK("https://www.boe.es/gazeta/dias/1803/07/08/pdfs/GMD-1803-54.pdf#page=10","Abrir facsímil")</f>
        <v>Abrir facsímil</v>
      </c>
      <c r="K1937" s="15" t="s">
        <v>23</v>
      </c>
    </row>
    <row r="1938" spans="1:11" ht="42" customHeight="1">
      <c r="A1938" s="4" t="s">
        <v>4994</v>
      </c>
      <c r="B1938" s="5" t="s">
        <v>4995</v>
      </c>
      <c r="C1938" s="5" t="s">
        <v>51</v>
      </c>
      <c r="D1938" s="5" t="s">
        <v>52</v>
      </c>
      <c r="E1938" s="5" t="s">
        <v>1846</v>
      </c>
      <c r="F1938" s="9">
        <v>89</v>
      </c>
      <c r="G1938" s="9">
        <v>960</v>
      </c>
      <c r="H1938" s="5" t="s">
        <v>21</v>
      </c>
      <c r="I1938" s="5" t="s">
        <v>4996</v>
      </c>
      <c r="J1938" s="12" t="str">
        <f>HYPERLINK("https://www.boe.es/gazeta/dias/1803/11/04/pdfs/GMD-1803-89.pdf#page=8","Abrir facsímil")</f>
        <v>Abrir facsímil</v>
      </c>
      <c r="K1938" s="15" t="s">
        <v>23</v>
      </c>
    </row>
    <row r="1939" spans="1:11" ht="42" customHeight="1">
      <c r="A1939" s="4" t="s">
        <v>4997</v>
      </c>
      <c r="B1939" s="5" t="s">
        <v>4997</v>
      </c>
      <c r="C1939" s="5" t="s">
        <v>40</v>
      </c>
      <c r="D1939" s="5" t="s">
        <v>41</v>
      </c>
      <c r="E1939" s="5" t="s">
        <v>261</v>
      </c>
      <c r="F1939" s="9">
        <v>70</v>
      </c>
      <c r="G1939" s="9">
        <v>763</v>
      </c>
      <c r="H1939" s="5" t="s">
        <v>21</v>
      </c>
      <c r="I1939" s="5" t="s">
        <v>4998</v>
      </c>
      <c r="J1939" s="12" t="str">
        <f>HYPERLINK("https://www.boe.es/gazeta/dias/1803/09/02/pdfs/GMD-1803-70.pdf#page=3","Abrir facsímil")</f>
        <v>Abrir facsímil</v>
      </c>
      <c r="K1939" s="15" t="s">
        <v>23</v>
      </c>
    </row>
    <row r="1940" spans="1:11" ht="42" customHeight="1">
      <c r="A1940" s="4" t="s">
        <v>4999</v>
      </c>
      <c r="B1940" s="5" t="s">
        <v>5000</v>
      </c>
      <c r="C1940" s="5" t="s">
        <v>26</v>
      </c>
      <c r="D1940" s="5" t="s">
        <v>27</v>
      </c>
      <c r="E1940" s="5" t="s">
        <v>403</v>
      </c>
      <c r="F1940" s="9">
        <v>91</v>
      </c>
      <c r="G1940" s="9">
        <v>977</v>
      </c>
      <c r="H1940" s="5" t="s">
        <v>21</v>
      </c>
      <c r="I1940" s="5" t="s">
        <v>5001</v>
      </c>
      <c r="J1940" s="12" t="str">
        <f>HYPERLINK("https://www.boe.es/gazeta/dias/1803/11/11/pdfs/GMD-1803-91.pdf#page=9","Abrir facsímil")</f>
        <v>Abrir facsímil</v>
      </c>
      <c r="K1940" s="15" t="s">
        <v>23</v>
      </c>
    </row>
    <row r="1941" spans="1:11" ht="42" customHeight="1">
      <c r="A1941" s="4" t="s">
        <v>5002</v>
      </c>
      <c r="B1941" s="5" t="s">
        <v>5003</v>
      </c>
      <c r="C1941" s="5" t="s">
        <v>40</v>
      </c>
      <c r="D1941" s="5" t="s">
        <v>41</v>
      </c>
      <c r="E1941" s="5" t="s">
        <v>313</v>
      </c>
      <c r="F1941" s="9">
        <v>14</v>
      </c>
      <c r="G1941" s="9">
        <v>140</v>
      </c>
      <c r="H1941" s="5" t="s">
        <v>21</v>
      </c>
      <c r="I1941" s="5" t="s">
        <v>5004</v>
      </c>
      <c r="J1941" s="12" t="str">
        <f>HYPERLINK("https://www.boe.es/gazeta/dias/1803/02/18/pdfs/GMD-1803-14.pdf#page=4","Abrir facsímil")</f>
        <v>Abrir facsímil</v>
      </c>
      <c r="K1941" s="15" t="s">
        <v>23</v>
      </c>
    </row>
    <row r="1942" spans="1:11" ht="42" customHeight="1">
      <c r="A1942" s="4" t="s">
        <v>5005</v>
      </c>
      <c r="B1942" s="5" t="s">
        <v>5006</v>
      </c>
      <c r="C1942" s="5" t="s">
        <v>51</v>
      </c>
      <c r="D1942" s="5" t="s">
        <v>52</v>
      </c>
      <c r="E1942" s="5" t="s">
        <v>174</v>
      </c>
      <c r="F1942" s="9">
        <v>21</v>
      </c>
      <c r="G1942" s="9">
        <v>225</v>
      </c>
      <c r="H1942" s="5" t="s">
        <v>21</v>
      </c>
      <c r="I1942" s="5" t="s">
        <v>5007</v>
      </c>
      <c r="J1942" s="12" t="str">
        <f>HYPERLINK("https://www.boe.es/gazeta/dias/1803/03/15/pdfs/GMD-1803-21.pdf#page=9","Abrir facsímil")</f>
        <v>Abrir facsímil</v>
      </c>
      <c r="K1942" s="15" t="s">
        <v>23</v>
      </c>
    </row>
    <row r="1943" spans="1:11" ht="42" customHeight="1">
      <c r="A1943" s="4" t="s">
        <v>5005</v>
      </c>
      <c r="B1943" s="5" t="s">
        <v>5006</v>
      </c>
      <c r="C1943" s="5" t="s">
        <v>51</v>
      </c>
      <c r="D1943" s="5" t="s">
        <v>52</v>
      </c>
      <c r="E1943" s="5" t="s">
        <v>113</v>
      </c>
      <c r="F1943" s="9">
        <v>93</v>
      </c>
      <c r="G1943" s="9">
        <v>997</v>
      </c>
      <c r="H1943" s="5" t="s">
        <v>21</v>
      </c>
      <c r="I1943" s="5" t="s">
        <v>5008</v>
      </c>
      <c r="J1943" s="12" t="str">
        <f>HYPERLINK("https://www.boe.es/gazeta/dias/1803/11/18/pdfs/GMD-1803-93.pdf#page=9","Abrir facsímil")</f>
        <v>Abrir facsímil</v>
      </c>
      <c r="K1943" s="15" t="s">
        <v>23</v>
      </c>
    </row>
    <row r="1944" spans="1:11" ht="42" customHeight="1">
      <c r="A1944" s="4" t="s">
        <v>5009</v>
      </c>
      <c r="B1944" s="5" t="s">
        <v>5010</v>
      </c>
      <c r="C1944" s="5" t="s">
        <v>225</v>
      </c>
      <c r="D1944" s="5" t="s">
        <v>226</v>
      </c>
      <c r="E1944" s="5" t="s">
        <v>609</v>
      </c>
      <c r="F1944" s="9">
        <v>57</v>
      </c>
      <c r="G1944" s="9">
        <v>622</v>
      </c>
      <c r="H1944" s="5" t="s">
        <v>21</v>
      </c>
      <c r="I1944" s="5" t="s">
        <v>5011</v>
      </c>
      <c r="J1944" s="12" t="str">
        <f>HYPERLINK("https://www.boe.es/gazeta/dias/1803/07/19/pdfs/GMD-C-1803-57.pdf#page=2","Abrir facsímil")</f>
        <v>Abrir facsímil</v>
      </c>
      <c r="K1944" s="15" t="s">
        <v>23</v>
      </c>
    </row>
    <row r="1945" spans="1:11" ht="42" customHeight="1">
      <c r="A1945" s="4" t="s">
        <v>5012</v>
      </c>
      <c r="B1945" s="5" t="s">
        <v>5012</v>
      </c>
      <c r="C1945" s="5" t="s">
        <v>40</v>
      </c>
      <c r="D1945" s="5" t="s">
        <v>41</v>
      </c>
      <c r="E1945" s="5" t="s">
        <v>630</v>
      </c>
      <c r="F1945" s="9">
        <v>85</v>
      </c>
      <c r="G1945" s="9">
        <v>913</v>
      </c>
      <c r="H1945" s="5" t="s">
        <v>21</v>
      </c>
      <c r="I1945" s="5" t="s">
        <v>5013</v>
      </c>
      <c r="J1945" s="12" t="str">
        <f>HYPERLINK("https://www.boe.es/gazeta/dias/1803/10/21/pdfs/GMD-1803-85.pdf#page=5","Abrir facsímil")</f>
        <v>Abrir facsímil</v>
      </c>
      <c r="K1945" s="15" t="s">
        <v>23</v>
      </c>
    </row>
    <row r="1946" spans="1:11" ht="42" customHeight="1">
      <c r="A1946" s="4" t="s">
        <v>5014</v>
      </c>
      <c r="B1946" s="5" t="s">
        <v>5015</v>
      </c>
      <c r="C1946" s="5" t="s">
        <v>26</v>
      </c>
      <c r="D1946" s="5" t="s">
        <v>27</v>
      </c>
      <c r="E1946" s="5" t="s">
        <v>285</v>
      </c>
      <c r="F1946" s="9">
        <v>5</v>
      </c>
      <c r="G1946" s="9">
        <v>46</v>
      </c>
      <c r="H1946" s="5" t="s">
        <v>21</v>
      </c>
      <c r="I1946" s="5" t="s">
        <v>5016</v>
      </c>
      <c r="J1946" s="12" t="str">
        <f>HYPERLINK("https://www.boe.es/gazeta/dias/1803/01/18/pdfs/GMD-1803-5.pdf#page=10","Abrir facsímil")</f>
        <v>Abrir facsímil</v>
      </c>
      <c r="K1946" s="15" t="s">
        <v>23</v>
      </c>
    </row>
    <row r="1947" spans="1:11" ht="42" customHeight="1">
      <c r="A1947" s="4" t="s">
        <v>5017</v>
      </c>
      <c r="B1947" s="5" t="s">
        <v>5017</v>
      </c>
      <c r="C1947" s="5" t="s">
        <v>40</v>
      </c>
      <c r="D1947" s="5" t="s">
        <v>41</v>
      </c>
      <c r="E1947" s="5" t="s">
        <v>83</v>
      </c>
      <c r="F1947" s="9">
        <v>28</v>
      </c>
      <c r="G1947" s="9">
        <v>301</v>
      </c>
      <c r="H1947" s="5" t="s">
        <v>21</v>
      </c>
      <c r="I1947" s="5" t="s">
        <v>5018</v>
      </c>
      <c r="J1947" s="12" t="str">
        <f>HYPERLINK("https://www.boe.es/gazeta/dias/1803/04/08/pdfs/GMD-1803-28.pdf#page=5","Abrir facsímil")</f>
        <v>Abrir facsímil</v>
      </c>
      <c r="K1947" s="15" t="s">
        <v>23</v>
      </c>
    </row>
    <row r="1948" spans="1:11" ht="42" customHeight="1">
      <c r="A1948" s="4" t="s">
        <v>5019</v>
      </c>
      <c r="B1948" s="5" t="s">
        <v>5020</v>
      </c>
      <c r="C1948" s="5" t="s">
        <v>26</v>
      </c>
      <c r="D1948" s="5" t="s">
        <v>27</v>
      </c>
      <c r="E1948" s="5" t="s">
        <v>36</v>
      </c>
      <c r="F1948" s="9">
        <v>79</v>
      </c>
      <c r="G1948" s="9">
        <v>855</v>
      </c>
      <c r="H1948" s="5" t="s">
        <v>21</v>
      </c>
      <c r="I1948" s="5" t="s">
        <v>5021</v>
      </c>
      <c r="J1948" s="12" t="str">
        <f>HYPERLINK("https://www.boe.es/gazeta/dias/1803/09/30/pdfs/GMD-1803-79.pdf#page=7","Abrir facsímil")</f>
        <v>Abrir facsímil</v>
      </c>
      <c r="K1948" s="15" t="s">
        <v>23</v>
      </c>
    </row>
    <row r="1949" spans="1:11" ht="42" customHeight="1">
      <c r="A1949" s="4" t="s">
        <v>5022</v>
      </c>
      <c r="B1949" s="5" t="s">
        <v>5023</v>
      </c>
      <c r="C1949" s="5" t="s">
        <v>40</v>
      </c>
      <c r="D1949" s="5" t="s">
        <v>41</v>
      </c>
      <c r="E1949" s="5" t="s">
        <v>138</v>
      </c>
      <c r="F1949" s="9">
        <v>68</v>
      </c>
      <c r="G1949" s="9">
        <v>739</v>
      </c>
      <c r="H1949" s="5" t="s">
        <v>21</v>
      </c>
      <c r="I1949" s="5" t="s">
        <v>5024</v>
      </c>
      <c r="J1949" s="12" t="str">
        <f>HYPERLINK("https://www.boe.es/gazeta/dias/1803/08/26/pdfs/GMD-1803-68.pdf#page=7","Abrir facsímil")</f>
        <v>Abrir facsímil</v>
      </c>
      <c r="K1949" s="15" t="s">
        <v>23</v>
      </c>
    </row>
    <row r="1950" spans="1:11" ht="42" customHeight="1">
      <c r="A1950" s="4" t="s">
        <v>5025</v>
      </c>
      <c r="B1950" s="5" t="s">
        <v>5026</v>
      </c>
      <c r="C1950" s="5" t="s">
        <v>46</v>
      </c>
      <c r="D1950" s="5" t="s">
        <v>19</v>
      </c>
      <c r="E1950" s="5" t="s">
        <v>391</v>
      </c>
      <c r="F1950" s="9">
        <v>61</v>
      </c>
      <c r="G1950" s="9">
        <v>668</v>
      </c>
      <c r="H1950" s="5" t="s">
        <v>21</v>
      </c>
      <c r="I1950" s="5" t="s">
        <v>5027</v>
      </c>
      <c r="J1950" s="12" t="str">
        <f>HYPERLINK("https://www.boe.es/gazeta/dias/1803/08/02/pdfs/GMD-1803-61.pdf#page=8","Abrir facsímil")</f>
        <v>Abrir facsímil</v>
      </c>
      <c r="K1950" s="15" t="s">
        <v>23</v>
      </c>
    </row>
    <row r="1951" spans="1:11" ht="42" customHeight="1">
      <c r="A1951" s="4" t="s">
        <v>5028</v>
      </c>
      <c r="B1951" s="5" t="s">
        <v>5029</v>
      </c>
      <c r="C1951" s="5" t="s">
        <v>874</v>
      </c>
      <c r="D1951" s="5" t="s">
        <v>875</v>
      </c>
      <c r="E1951" s="5" t="s">
        <v>480</v>
      </c>
      <c r="F1951" s="9">
        <v>87</v>
      </c>
      <c r="G1951" s="9" t="s">
        <v>876</v>
      </c>
      <c r="H1951" s="5" t="s">
        <v>21</v>
      </c>
      <c r="I1951" s="5" t="s">
        <v>5030</v>
      </c>
      <c r="J1951" s="12" t="str">
        <f>HYPERLINK("https://www.boe.es/gazeta/dias/1803/10/28/pdfs/GMD-C-1803-87.pdf#page=1","Abrir facsímil")</f>
        <v>Abrir facsímil</v>
      </c>
      <c r="K1951" s="15" t="s">
        <v>23</v>
      </c>
    </row>
    <row r="1952" spans="1:11" ht="42" customHeight="1">
      <c r="A1952" s="4" t="s">
        <v>5031</v>
      </c>
      <c r="B1952" s="5" t="s">
        <v>5031</v>
      </c>
      <c r="C1952" s="5" t="s">
        <v>80</v>
      </c>
      <c r="D1952" s="5" t="s">
        <v>81</v>
      </c>
      <c r="E1952" s="5" t="s">
        <v>399</v>
      </c>
      <c r="F1952" s="9">
        <v>95</v>
      </c>
      <c r="G1952" s="9">
        <v>1019</v>
      </c>
      <c r="H1952" s="5" t="s">
        <v>21</v>
      </c>
      <c r="I1952" s="5" t="s">
        <v>5032</v>
      </c>
      <c r="J1952" s="12" t="str">
        <f>HYPERLINK("https://www.boe.es/gazeta/dias/1803/11/25/pdfs/GMD-1803-95.pdf#page=7","Abrir facsímil")</f>
        <v>Abrir facsímil</v>
      </c>
      <c r="K1952" s="15" t="s">
        <v>23</v>
      </c>
    </row>
    <row r="1953" spans="1:11" ht="42" customHeight="1">
      <c r="A1953" s="4" t="s">
        <v>5033</v>
      </c>
      <c r="B1953" s="5" t="s">
        <v>5033</v>
      </c>
      <c r="C1953" s="5" t="s">
        <v>40</v>
      </c>
      <c r="D1953" s="5" t="s">
        <v>41</v>
      </c>
      <c r="E1953" s="5" t="s">
        <v>795</v>
      </c>
      <c r="F1953" s="9">
        <v>98</v>
      </c>
      <c r="G1953" s="9">
        <v>1049</v>
      </c>
      <c r="H1953" s="5" t="s">
        <v>21</v>
      </c>
      <c r="I1953" s="5" t="s">
        <v>5034</v>
      </c>
      <c r="J1953" s="12" t="str">
        <f>HYPERLINK("https://www.boe.es/gazeta/dias/1803/12/06/pdfs/GMD-1803-98.pdf#page=5","Abrir facsímil")</f>
        <v>Abrir facsímil</v>
      </c>
      <c r="K1953" s="15" t="s">
        <v>23</v>
      </c>
    </row>
    <row r="1954" spans="1:11" ht="42" customHeight="1">
      <c r="A1954" s="4" t="s">
        <v>5035</v>
      </c>
      <c r="B1954" s="5" t="s">
        <v>5036</v>
      </c>
      <c r="C1954" s="5" t="s">
        <v>51</v>
      </c>
      <c r="D1954" s="5" t="s">
        <v>52</v>
      </c>
      <c r="E1954" s="5" t="s">
        <v>313</v>
      </c>
      <c r="F1954" s="9">
        <v>14</v>
      </c>
      <c r="G1954" s="9">
        <v>142</v>
      </c>
      <c r="H1954" s="5" t="s">
        <v>21</v>
      </c>
      <c r="I1954" s="5" t="s">
        <v>5037</v>
      </c>
      <c r="J1954" s="12" t="str">
        <f>HYPERLINK("https://www.boe.es/gazeta/dias/1803/02/18/pdfs/GMD-1803-14.pdf#page=6","Abrir facsímil")</f>
        <v>Abrir facsímil</v>
      </c>
      <c r="K1954" s="15" t="s">
        <v>23</v>
      </c>
    </row>
    <row r="1955" spans="1:11" ht="42" customHeight="1">
      <c r="A1955" s="4" t="s">
        <v>5038</v>
      </c>
      <c r="B1955" s="5" t="s">
        <v>5038</v>
      </c>
      <c r="C1955" s="5" t="s">
        <v>26</v>
      </c>
      <c r="D1955" s="5" t="s">
        <v>27</v>
      </c>
      <c r="E1955" s="5" t="s">
        <v>93</v>
      </c>
      <c r="F1955" s="9">
        <v>43</v>
      </c>
      <c r="G1955" s="9">
        <v>447</v>
      </c>
      <c r="H1955" s="5" t="s">
        <v>21</v>
      </c>
      <c r="I1955" s="5" t="s">
        <v>5039</v>
      </c>
      <c r="J1955" s="12" t="str">
        <f>HYPERLINK("https://www.boe.es/gazeta/dias/1803/05/31/pdfs/GMD-1803-43.pdf#page=7","Abrir facsímil")</f>
        <v>Abrir facsímil</v>
      </c>
      <c r="K1955" s="15" t="s">
        <v>23</v>
      </c>
    </row>
    <row r="1956" spans="1:11" ht="42" customHeight="1">
      <c r="A1956" s="4" t="s">
        <v>5040</v>
      </c>
      <c r="B1956" s="5" t="s">
        <v>5041</v>
      </c>
      <c r="C1956" s="5" t="s">
        <v>26</v>
      </c>
      <c r="D1956" s="5" t="s">
        <v>27</v>
      </c>
      <c r="E1956" s="5" t="s">
        <v>407</v>
      </c>
      <c r="F1956" s="9">
        <v>82</v>
      </c>
      <c r="G1956" s="9">
        <v>885</v>
      </c>
      <c r="H1956" s="5" t="s">
        <v>21</v>
      </c>
      <c r="I1956" s="5" t="s">
        <v>5042</v>
      </c>
      <c r="J1956" s="12" t="str">
        <f>HYPERLINK("https://www.boe.es/gazeta/dias/1803/10/11/pdfs/GMD-1803-82.pdf#page=9","Abrir facsímil")</f>
        <v>Abrir facsímil</v>
      </c>
      <c r="K1956" s="15" t="s">
        <v>23</v>
      </c>
    </row>
    <row r="1957" spans="1:11" ht="42" customHeight="1">
      <c r="A1957" s="4" t="s">
        <v>5043</v>
      </c>
      <c r="B1957" s="5" t="s">
        <v>5044</v>
      </c>
      <c r="C1957" s="5" t="s">
        <v>26</v>
      </c>
      <c r="D1957" s="5" t="s">
        <v>27</v>
      </c>
      <c r="E1957" s="5" t="s">
        <v>571</v>
      </c>
      <c r="F1957" s="9">
        <v>103</v>
      </c>
      <c r="G1957" s="9">
        <v>1107</v>
      </c>
      <c r="H1957" s="5" t="s">
        <v>21</v>
      </c>
      <c r="I1957" s="5" t="s">
        <v>5045</v>
      </c>
      <c r="J1957" s="12" t="str">
        <f>HYPERLINK("https://www.boe.es/gazeta/dias/1803/12/23/pdfs/GMD-1803-103.pdf#page=7","Abrir facsímil")</f>
        <v>Abrir facsímil</v>
      </c>
      <c r="K1957" s="15" t="s">
        <v>23</v>
      </c>
    </row>
    <row r="1958" spans="1:11" ht="42" customHeight="1">
      <c r="A1958" s="4" t="s">
        <v>5046</v>
      </c>
      <c r="B1958" s="5" t="s">
        <v>5047</v>
      </c>
      <c r="C1958" s="5" t="s">
        <v>26</v>
      </c>
      <c r="D1958" s="5" t="s">
        <v>27</v>
      </c>
      <c r="E1958" s="5" t="s">
        <v>300</v>
      </c>
      <c r="F1958" s="9">
        <v>96</v>
      </c>
      <c r="G1958" s="9">
        <v>1033</v>
      </c>
      <c r="H1958" s="5" t="s">
        <v>21</v>
      </c>
      <c r="I1958" s="5" t="s">
        <v>5048</v>
      </c>
      <c r="J1958" s="12" t="str">
        <f>HYPERLINK("https://www.boe.es/gazeta/dias/1803/11/29/pdfs/GMD-1803-96.pdf#page=9","Abrir facsímil")</f>
        <v>Abrir facsímil</v>
      </c>
      <c r="K1958" s="15" t="s">
        <v>23</v>
      </c>
    </row>
    <row r="1959" spans="1:11" ht="42" customHeight="1">
      <c r="A1959" s="4" t="s">
        <v>5049</v>
      </c>
      <c r="B1959" s="5" t="s">
        <v>5050</v>
      </c>
      <c r="C1959" s="5" t="s">
        <v>26</v>
      </c>
      <c r="D1959" s="5" t="s">
        <v>27</v>
      </c>
      <c r="E1959" s="5" t="s">
        <v>199</v>
      </c>
      <c r="F1959" s="9">
        <v>88</v>
      </c>
      <c r="G1959" s="9">
        <v>947</v>
      </c>
      <c r="H1959" s="5" t="s">
        <v>21</v>
      </c>
      <c r="I1959" s="5" t="s">
        <v>5051</v>
      </c>
      <c r="J1959" s="12" t="str">
        <f>HYPERLINK("https://www.boe.es/gazeta/dias/1803/11/01/pdfs/GMD-1803-88.pdf#page=7","Abrir facsímil")</f>
        <v>Abrir facsímil</v>
      </c>
      <c r="K1959" s="15" t="s">
        <v>23</v>
      </c>
    </row>
    <row r="1960" spans="1:11" ht="42" customHeight="1">
      <c r="A1960" s="4" t="s">
        <v>5052</v>
      </c>
      <c r="B1960" s="5" t="s">
        <v>5053</v>
      </c>
      <c r="C1960" s="5" t="s">
        <v>225</v>
      </c>
      <c r="D1960" s="5" t="s">
        <v>226</v>
      </c>
      <c r="E1960" s="5" t="s">
        <v>191</v>
      </c>
      <c r="F1960" s="9">
        <v>34</v>
      </c>
      <c r="G1960" s="9" t="s">
        <v>1972</v>
      </c>
      <c r="H1960" s="5" t="s">
        <v>21</v>
      </c>
      <c r="I1960" s="5" t="s">
        <v>5054</v>
      </c>
      <c r="J1960" s="12" t="str">
        <f>HYPERLINK("https://www.boe.es/gazeta/dias/1803/04/29/pdfs/GMD-C-1803-34.pdf#page=9","Abrir facsímil")</f>
        <v>Abrir facsímil</v>
      </c>
      <c r="K1960" s="15" t="s">
        <v>23</v>
      </c>
    </row>
    <row r="1961" spans="1:11" ht="42" customHeight="1">
      <c r="A1961" s="4" t="s">
        <v>5055</v>
      </c>
      <c r="B1961" s="5" t="s">
        <v>5056</v>
      </c>
      <c r="C1961" s="5" t="s">
        <v>26</v>
      </c>
      <c r="D1961" s="5" t="s">
        <v>27</v>
      </c>
      <c r="E1961" s="5" t="s">
        <v>156</v>
      </c>
      <c r="F1961" s="9">
        <v>2</v>
      </c>
      <c r="G1961" s="9">
        <v>17</v>
      </c>
      <c r="H1961" s="5" t="s">
        <v>21</v>
      </c>
      <c r="I1961" s="5" t="s">
        <v>5057</v>
      </c>
      <c r="J1961" s="12" t="str">
        <f>HYPERLINK("https://www.boe.es/gazeta/dias/1803/01/07/pdfs/GMD-1803-2.pdf#page=9","Abrir facsímil")</f>
        <v>Abrir facsímil</v>
      </c>
      <c r="K1961" s="15" t="s">
        <v>23</v>
      </c>
    </row>
    <row r="1962" spans="1:11" ht="42" customHeight="1">
      <c r="A1962" s="4" t="s">
        <v>5058</v>
      </c>
      <c r="B1962" s="5" t="s">
        <v>5059</v>
      </c>
      <c r="C1962" s="5" t="s">
        <v>26</v>
      </c>
      <c r="D1962" s="5" t="s">
        <v>27</v>
      </c>
      <c r="E1962" s="5" t="s">
        <v>71</v>
      </c>
      <c r="F1962" s="9">
        <v>39</v>
      </c>
      <c r="G1962" s="9">
        <v>412</v>
      </c>
      <c r="H1962" s="5" t="s">
        <v>21</v>
      </c>
      <c r="I1962" s="5" t="s">
        <v>5060</v>
      </c>
      <c r="J1962" s="12" t="str">
        <f>HYPERLINK("https://www.boe.es/gazeta/dias/1803/05/17/pdfs/GMD-1803-39.pdf#page=8","Abrir facsímil")</f>
        <v>Abrir facsímil</v>
      </c>
      <c r="K1962" s="15" t="s">
        <v>23</v>
      </c>
    </row>
    <row r="1963" spans="1:11" ht="42" customHeight="1">
      <c r="A1963" s="4" t="s">
        <v>5061</v>
      </c>
      <c r="B1963" s="5" t="s">
        <v>5062</v>
      </c>
      <c r="C1963" s="5" t="s">
        <v>18</v>
      </c>
      <c r="D1963" s="5" t="s">
        <v>19</v>
      </c>
      <c r="E1963" s="5" t="s">
        <v>174</v>
      </c>
      <c r="F1963" s="9">
        <v>21</v>
      </c>
      <c r="G1963" s="9">
        <v>223</v>
      </c>
      <c r="H1963" s="5" t="s">
        <v>21</v>
      </c>
      <c r="I1963" s="5" t="s">
        <v>5063</v>
      </c>
      <c r="J1963" s="12" t="str">
        <f>HYPERLINK("https://www.boe.es/gazeta/dias/1803/03/15/pdfs/GMD-1803-21.pdf#page=7","Abrir facsímil")</f>
        <v>Abrir facsímil</v>
      </c>
      <c r="K1963" s="15" t="s">
        <v>23</v>
      </c>
    </row>
    <row r="1964" spans="1:11" ht="42" customHeight="1">
      <c r="A1964" s="4" t="s">
        <v>5061</v>
      </c>
      <c r="B1964" s="5" t="s">
        <v>5062</v>
      </c>
      <c r="C1964" s="5" t="s">
        <v>26</v>
      </c>
      <c r="D1964" s="5" t="s">
        <v>27</v>
      </c>
      <c r="E1964" s="5" t="s">
        <v>309</v>
      </c>
      <c r="F1964" s="9">
        <v>37</v>
      </c>
      <c r="G1964" s="9">
        <v>384</v>
      </c>
      <c r="H1964" s="5" t="s">
        <v>21</v>
      </c>
      <c r="I1964" s="5" t="s">
        <v>5064</v>
      </c>
      <c r="J1964" s="12" t="str">
        <f>HYPERLINK("https://www.boe.es/gazeta/dias/1803/05/10/pdfs/GMD-1803-37.pdf#page=8","Abrir facsímil")</f>
        <v>Abrir facsímil</v>
      </c>
      <c r="K1964" s="15" t="s">
        <v>23</v>
      </c>
    </row>
    <row r="1965" spans="1:11" ht="42" customHeight="1">
      <c r="A1965" s="4" t="s">
        <v>5065</v>
      </c>
      <c r="B1965" s="5" t="s">
        <v>5066</v>
      </c>
      <c r="C1965" s="5" t="s">
        <v>40</v>
      </c>
      <c r="D1965" s="5" t="s">
        <v>41</v>
      </c>
      <c r="E1965" s="5" t="s">
        <v>191</v>
      </c>
      <c r="F1965" s="9">
        <v>34</v>
      </c>
      <c r="G1965" s="9">
        <v>358</v>
      </c>
      <c r="H1965" s="5" t="s">
        <v>21</v>
      </c>
      <c r="I1965" s="5" t="s">
        <v>5067</v>
      </c>
      <c r="J1965" s="12" t="str">
        <f>HYPERLINK("https://www.boe.es/gazeta/dias/1803/04/29/pdfs/GMD-1803-34.pdf#page=6","Abrir facsímil")</f>
        <v>Abrir facsímil</v>
      </c>
      <c r="K1965" s="15" t="s">
        <v>23</v>
      </c>
    </row>
    <row r="1966" spans="1:11" ht="42" customHeight="1">
      <c r="A1966" s="4" t="s">
        <v>5068</v>
      </c>
      <c r="B1966" s="5" t="s">
        <v>5069</v>
      </c>
      <c r="C1966" s="5" t="s">
        <v>225</v>
      </c>
      <c r="D1966" s="5" t="s">
        <v>226</v>
      </c>
      <c r="E1966" s="5" t="s">
        <v>191</v>
      </c>
      <c r="F1966" s="9">
        <v>34</v>
      </c>
      <c r="G1966" s="9" t="s">
        <v>471</v>
      </c>
      <c r="H1966" s="5" t="s">
        <v>21</v>
      </c>
      <c r="I1966" s="5" t="s">
        <v>5070</v>
      </c>
      <c r="J1966" s="12" t="str">
        <f>HYPERLINK("https://www.boe.es/gazeta/dias/1803/04/29/pdfs/GMD-C-1803-34.pdf#page=4","Abrir facsímil")</f>
        <v>Abrir facsímil</v>
      </c>
      <c r="K1966" s="15" t="s">
        <v>23</v>
      </c>
    </row>
    <row r="1967" spans="1:11" ht="42" customHeight="1">
      <c r="A1967" s="4" t="s">
        <v>5071</v>
      </c>
      <c r="B1967" s="5" t="s">
        <v>5072</v>
      </c>
      <c r="C1967" s="5" t="s">
        <v>51</v>
      </c>
      <c r="D1967" s="5" t="s">
        <v>52</v>
      </c>
      <c r="E1967" s="5" t="s">
        <v>519</v>
      </c>
      <c r="F1967" s="9">
        <v>50</v>
      </c>
      <c r="G1967" s="9">
        <v>544</v>
      </c>
      <c r="H1967" s="5" t="s">
        <v>21</v>
      </c>
      <c r="I1967" s="5" t="s">
        <v>5073</v>
      </c>
      <c r="J1967" s="12" t="str">
        <f>HYPERLINK("https://www.boe.es/gazeta/dias/1803/06/24/pdfs/GMD-1803-50.pdf#page=12","Abrir facsímil")</f>
        <v>Abrir facsímil</v>
      </c>
      <c r="K1967" s="15" t="s">
        <v>23</v>
      </c>
    </row>
    <row r="1968" spans="1:11" ht="42" customHeight="1">
      <c r="A1968" s="4" t="s">
        <v>5074</v>
      </c>
      <c r="B1968" s="5" t="s">
        <v>5075</v>
      </c>
      <c r="C1968" s="5" t="s">
        <v>26</v>
      </c>
      <c r="D1968" s="5" t="s">
        <v>27</v>
      </c>
      <c r="E1968" s="5" t="s">
        <v>124</v>
      </c>
      <c r="F1968" s="9">
        <v>20</v>
      </c>
      <c r="G1968" s="9">
        <v>210</v>
      </c>
      <c r="H1968" s="5" t="s">
        <v>21</v>
      </c>
      <c r="I1968" s="5" t="s">
        <v>5076</v>
      </c>
      <c r="J1968" s="12" t="str">
        <f>HYPERLINK("https://www.boe.es/gazeta/dias/1803/03/11/pdfs/GMD-1803-20.pdf#page=6","Abrir facsímil")</f>
        <v>Abrir facsímil</v>
      </c>
      <c r="K1968" s="15" t="s">
        <v>23</v>
      </c>
    </row>
    <row r="1969" spans="1:11" ht="42" customHeight="1">
      <c r="A1969" s="4" t="s">
        <v>5077</v>
      </c>
      <c r="B1969" s="5" t="s">
        <v>5078</v>
      </c>
      <c r="C1969" s="5" t="s">
        <v>51</v>
      </c>
      <c r="D1969" s="5" t="s">
        <v>52</v>
      </c>
      <c r="E1969" s="5" t="s">
        <v>285</v>
      </c>
      <c r="F1969" s="9">
        <v>5</v>
      </c>
      <c r="G1969" s="9">
        <v>47</v>
      </c>
      <c r="H1969" s="5" t="s">
        <v>21</v>
      </c>
      <c r="I1969" s="5" t="s">
        <v>5079</v>
      </c>
      <c r="J1969" s="12" t="str">
        <f>HYPERLINK("https://www.boe.es/gazeta/dias/1803/01/18/pdfs/GMD-1803-5.pdf#page=11","Abrir facsímil")</f>
        <v>Abrir facsímil</v>
      </c>
      <c r="K1969" s="15" t="s">
        <v>23</v>
      </c>
    </row>
    <row r="1970" spans="1:11" ht="42" customHeight="1">
      <c r="A1970" s="4" t="s">
        <v>5080</v>
      </c>
      <c r="B1970" s="5" t="s">
        <v>5081</v>
      </c>
      <c r="C1970" s="5" t="s">
        <v>26</v>
      </c>
      <c r="D1970" s="5" t="s">
        <v>27</v>
      </c>
      <c r="E1970" s="5" t="s">
        <v>109</v>
      </c>
      <c r="F1970" s="9">
        <v>102</v>
      </c>
      <c r="G1970" s="9">
        <v>1097</v>
      </c>
      <c r="H1970" s="5" t="s">
        <v>21</v>
      </c>
      <c r="I1970" s="5" t="s">
        <v>5082</v>
      </c>
      <c r="J1970" s="12" t="str">
        <f>HYPERLINK("https://www.boe.es/gazeta/dias/1803/12/20/pdfs/GMD-1803-102.pdf#page=9","Abrir facsímil")</f>
        <v>Abrir facsímil</v>
      </c>
      <c r="K1970" s="15" t="s">
        <v>23</v>
      </c>
    </row>
    <row r="1971" spans="1:11" ht="42" customHeight="1">
      <c r="A1971" s="4" t="s">
        <v>5083</v>
      </c>
      <c r="B1971" s="5" t="s">
        <v>5084</v>
      </c>
      <c r="C1971" s="5" t="s">
        <v>26</v>
      </c>
      <c r="D1971" s="5" t="s">
        <v>27</v>
      </c>
      <c r="E1971" s="5" t="s">
        <v>657</v>
      </c>
      <c r="F1971" s="9">
        <v>24</v>
      </c>
      <c r="G1971" s="9">
        <v>256</v>
      </c>
      <c r="H1971" s="5" t="s">
        <v>21</v>
      </c>
      <c r="I1971" s="5" t="s">
        <v>5085</v>
      </c>
      <c r="J1971" s="12" t="str">
        <f>HYPERLINK("https://www.boe.es/gazeta/dias/1803/03/25/pdfs/GMD-1803-24.pdf#page=8","Abrir facsímil")</f>
        <v>Abrir facsímil</v>
      </c>
      <c r="K1971" s="15" t="s">
        <v>23</v>
      </c>
    </row>
    <row r="1972" spans="1:11" ht="42" customHeight="1">
      <c r="A1972" s="4" t="s">
        <v>5086</v>
      </c>
      <c r="B1972" s="5" t="s">
        <v>5087</v>
      </c>
      <c r="C1972" s="5" t="s">
        <v>80</v>
      </c>
      <c r="D1972" s="5" t="s">
        <v>81</v>
      </c>
      <c r="E1972" s="5" t="s">
        <v>399</v>
      </c>
      <c r="F1972" s="9">
        <v>95</v>
      </c>
      <c r="G1972" s="9">
        <v>1020</v>
      </c>
      <c r="H1972" s="5" t="s">
        <v>21</v>
      </c>
      <c r="I1972" s="5" t="s">
        <v>5088</v>
      </c>
      <c r="J1972" s="12" t="str">
        <f>HYPERLINK("https://www.boe.es/gazeta/dias/1803/11/25/pdfs/GMD-1803-95.pdf#page=8","Abrir facsímil")</f>
        <v>Abrir facsímil</v>
      </c>
      <c r="K1972" s="15" t="s">
        <v>23</v>
      </c>
    </row>
    <row r="1973" spans="1:11" ht="42" customHeight="1">
      <c r="A1973" s="4" t="s">
        <v>5089</v>
      </c>
      <c r="B1973" s="5" t="s">
        <v>5090</v>
      </c>
      <c r="C1973" s="5" t="s">
        <v>40</v>
      </c>
      <c r="D1973" s="5" t="s">
        <v>41</v>
      </c>
      <c r="E1973" s="5" t="s">
        <v>32</v>
      </c>
      <c r="F1973" s="9">
        <v>74</v>
      </c>
      <c r="G1973" s="9">
        <v>802</v>
      </c>
      <c r="H1973" s="5" t="s">
        <v>21</v>
      </c>
      <c r="I1973" s="5" t="s">
        <v>5091</v>
      </c>
      <c r="J1973" s="12" t="str">
        <f>HYPERLINK("https://www.boe.es/gazeta/dias/1803/09/13/pdfs/GMD-1803-74.pdf#page=6","Abrir facsímil")</f>
        <v>Abrir facsímil</v>
      </c>
      <c r="K1973" s="15" t="s">
        <v>23</v>
      </c>
    </row>
    <row r="1974" spans="1:11" ht="42" customHeight="1">
      <c r="A1974" s="4" t="s">
        <v>5092</v>
      </c>
      <c r="B1974" s="5" t="s">
        <v>5093</v>
      </c>
      <c r="C1974" s="5" t="s">
        <v>26</v>
      </c>
      <c r="D1974" s="5" t="s">
        <v>27</v>
      </c>
      <c r="E1974" s="5" t="s">
        <v>61</v>
      </c>
      <c r="F1974" s="9">
        <v>67</v>
      </c>
      <c r="G1974" s="9">
        <v>729</v>
      </c>
      <c r="H1974" s="5" t="s">
        <v>21</v>
      </c>
      <c r="I1974" s="5" t="s">
        <v>5094</v>
      </c>
      <c r="J1974" s="12" t="str">
        <f>HYPERLINK("https://www.boe.es/gazeta/dias/1803/08/23/pdfs/GMD-1803-67.pdf#page=9","Abrir facsímil")</f>
        <v>Abrir facsímil</v>
      </c>
      <c r="K1974" s="15" t="s">
        <v>23</v>
      </c>
    </row>
    <row r="1975" spans="1:11" ht="42" customHeight="1">
      <c r="A1975" s="4" t="s">
        <v>5095</v>
      </c>
      <c r="B1975" s="5" t="s">
        <v>5096</v>
      </c>
      <c r="C1975" s="5" t="s">
        <v>80</v>
      </c>
      <c r="D1975" s="5" t="s">
        <v>81</v>
      </c>
      <c r="E1975" s="5" t="s">
        <v>191</v>
      </c>
      <c r="F1975" s="9">
        <v>34</v>
      </c>
      <c r="G1975" s="9" t="s">
        <v>876</v>
      </c>
      <c r="H1975" s="5" t="s">
        <v>21</v>
      </c>
      <c r="I1975" s="5" t="s">
        <v>5097</v>
      </c>
      <c r="J1975" s="12" t="str">
        <f>HYPERLINK("https://www.boe.es/gazeta/dias/1803/04/29/pdfs/GMD-C-1803-34.pdf#page=1","Abrir facsímil")</f>
        <v>Abrir facsímil</v>
      </c>
      <c r="K1975" s="15" t="s">
        <v>23</v>
      </c>
    </row>
    <row r="1976" spans="1:11" ht="42" customHeight="1">
      <c r="A1976" s="4" t="s">
        <v>5098</v>
      </c>
      <c r="B1976" s="5" t="s">
        <v>5099</v>
      </c>
      <c r="C1976" s="5" t="s">
        <v>26</v>
      </c>
      <c r="D1976" s="5" t="s">
        <v>27</v>
      </c>
      <c r="E1976" s="5" t="s">
        <v>132</v>
      </c>
      <c r="F1976" s="9">
        <v>58</v>
      </c>
      <c r="G1976" s="9">
        <v>638</v>
      </c>
      <c r="H1976" s="5" t="s">
        <v>21</v>
      </c>
      <c r="I1976" s="5" t="s">
        <v>5100</v>
      </c>
      <c r="J1976" s="12" t="str">
        <f>HYPERLINK("https://www.boe.es/gazeta/dias/1803/07/22/pdfs/GMD-1803-58.pdf#page=10","Abrir facsímil")</f>
        <v>Abrir facsímil</v>
      </c>
      <c r="K1976" s="15" t="s">
        <v>23</v>
      </c>
    </row>
    <row r="1977" spans="1:11" ht="42" customHeight="1">
      <c r="A1977" s="4" t="s">
        <v>5101</v>
      </c>
      <c r="B1977" s="5" t="s">
        <v>5102</v>
      </c>
      <c r="C1977" s="5" t="s">
        <v>40</v>
      </c>
      <c r="D1977" s="5" t="s">
        <v>41</v>
      </c>
      <c r="E1977" s="5" t="s">
        <v>657</v>
      </c>
      <c r="F1977" s="9">
        <v>24</v>
      </c>
      <c r="G1977" s="9">
        <v>249</v>
      </c>
      <c r="H1977" s="5" t="s">
        <v>21</v>
      </c>
      <c r="I1977" s="5" t="s">
        <v>5103</v>
      </c>
      <c r="J1977" s="12" t="str">
        <f>HYPERLINK("https://www.boe.es/gazeta/dias/1803/03/25/pdfs/GMD-1803-24.pdf#page=1","Abrir facsímil")</f>
        <v>Abrir facsímil</v>
      </c>
      <c r="K1977" s="15" t="s">
        <v>23</v>
      </c>
    </row>
    <row r="1978" spans="1:11" ht="42" customHeight="1">
      <c r="A1978" s="4" t="s">
        <v>5104</v>
      </c>
      <c r="B1978" s="5" t="s">
        <v>5104</v>
      </c>
      <c r="C1978" s="5" t="s">
        <v>40</v>
      </c>
      <c r="D1978" s="5" t="s">
        <v>41</v>
      </c>
      <c r="E1978" s="5" t="s">
        <v>395</v>
      </c>
      <c r="F1978" s="9">
        <v>13</v>
      </c>
      <c r="G1978" s="9">
        <v>132</v>
      </c>
      <c r="H1978" s="5" t="s">
        <v>21</v>
      </c>
      <c r="I1978" s="5" t="s">
        <v>5105</v>
      </c>
      <c r="J1978" s="12" t="str">
        <f>HYPERLINK("https://www.boe.es/gazeta/dias/1803/02/15/pdfs/GMD-1803-13.pdf#page=8","Abrir facsímil")</f>
        <v>Abrir facsímil</v>
      </c>
      <c r="K1978" s="15" t="s">
        <v>23</v>
      </c>
    </row>
    <row r="1979" spans="1:11" ht="42" customHeight="1">
      <c r="A1979" s="4" t="s">
        <v>5106</v>
      </c>
      <c r="B1979" s="5" t="s">
        <v>5107</v>
      </c>
      <c r="C1979" s="5" t="s">
        <v>40</v>
      </c>
      <c r="D1979" s="5" t="s">
        <v>41</v>
      </c>
      <c r="E1979" s="5" t="s">
        <v>178</v>
      </c>
      <c r="F1979" s="9">
        <v>36</v>
      </c>
      <c r="G1979" s="9">
        <v>371</v>
      </c>
      <c r="H1979" s="5" t="s">
        <v>21</v>
      </c>
      <c r="I1979" s="5" t="s">
        <v>5108</v>
      </c>
      <c r="J1979" s="12" t="str">
        <f>HYPERLINK("https://www.boe.es/gazeta/dias/1803/05/06/pdfs/GMD-1803-36.pdf#page=3","Abrir facsímil")</f>
        <v>Abrir facsímil</v>
      </c>
      <c r="K1979" s="15" t="s">
        <v>23</v>
      </c>
    </row>
    <row r="1980" spans="1:11" ht="42" customHeight="1">
      <c r="A1980" s="4" t="s">
        <v>5109</v>
      </c>
      <c r="B1980" s="5" t="s">
        <v>5110</v>
      </c>
      <c r="C1980" s="5" t="s">
        <v>26</v>
      </c>
      <c r="D1980" s="5" t="s">
        <v>27</v>
      </c>
      <c r="E1980" s="5" t="s">
        <v>967</v>
      </c>
      <c r="F1980" s="9">
        <v>35</v>
      </c>
      <c r="G1980" s="9">
        <v>367</v>
      </c>
      <c r="H1980" s="5" t="s">
        <v>21</v>
      </c>
      <c r="I1980" s="5" t="s">
        <v>5111</v>
      </c>
      <c r="J1980" s="12" t="str">
        <f>HYPERLINK("https://www.boe.es/gazeta/dias/1803/05/03/pdfs/GMD-1803-35.pdf#page=7","Abrir facsímil")</f>
        <v>Abrir facsímil</v>
      </c>
      <c r="K1980" s="15" t="s">
        <v>23</v>
      </c>
    </row>
    <row r="1981" spans="1:11" ht="42" customHeight="1">
      <c r="A1981" s="4" t="s">
        <v>5112</v>
      </c>
      <c r="B1981" s="5" t="s">
        <v>5113</v>
      </c>
      <c r="C1981" s="5" t="s">
        <v>18</v>
      </c>
      <c r="D1981" s="5" t="s">
        <v>19</v>
      </c>
      <c r="E1981" s="5" t="s">
        <v>523</v>
      </c>
      <c r="F1981" s="9">
        <v>101</v>
      </c>
      <c r="G1981" s="9">
        <v>1086</v>
      </c>
      <c r="H1981" s="5" t="s">
        <v>21</v>
      </c>
      <c r="I1981" s="5" t="s">
        <v>5114</v>
      </c>
      <c r="J1981" s="12" t="str">
        <f>HYPERLINK("https://www.boe.es/gazeta/dias/1803/12/16/pdfs/GMD-1803-101.pdf#page=10","Abrir facsímil")</f>
        <v>Abrir facsímil</v>
      </c>
      <c r="K1981" s="15" t="s">
        <v>23</v>
      </c>
    </row>
    <row r="1982" spans="1:11" ht="42" customHeight="1">
      <c r="A1982" s="4" t="s">
        <v>5115</v>
      </c>
      <c r="B1982" s="5" t="s">
        <v>5115</v>
      </c>
      <c r="C1982" s="5" t="s">
        <v>40</v>
      </c>
      <c r="D1982" s="5" t="s">
        <v>41</v>
      </c>
      <c r="E1982" s="5" t="s">
        <v>399</v>
      </c>
      <c r="F1982" s="9">
        <v>95</v>
      </c>
      <c r="G1982" s="9">
        <v>1014</v>
      </c>
      <c r="H1982" s="5" t="s">
        <v>21</v>
      </c>
      <c r="I1982" s="5" t="s">
        <v>5116</v>
      </c>
      <c r="J1982" s="12" t="str">
        <f>HYPERLINK("https://www.boe.es/gazeta/dias/1803/11/25/pdfs/GMD-1803-95.pdf#page=2","Abrir facsímil")</f>
        <v>Abrir facsímil</v>
      </c>
      <c r="K1982" s="15" t="s">
        <v>23</v>
      </c>
    </row>
    <row r="1983" spans="1:11" ht="42" customHeight="1">
      <c r="A1983" s="4" t="s">
        <v>5117</v>
      </c>
      <c r="B1983" s="5" t="s">
        <v>5118</v>
      </c>
      <c r="C1983" s="5" t="s">
        <v>80</v>
      </c>
      <c r="D1983" s="5" t="s">
        <v>81</v>
      </c>
      <c r="E1983" s="5" t="s">
        <v>174</v>
      </c>
      <c r="F1983" s="9">
        <v>21</v>
      </c>
      <c r="G1983" s="9">
        <v>228</v>
      </c>
      <c r="H1983" s="5" t="s">
        <v>21</v>
      </c>
      <c r="I1983" s="5" t="s">
        <v>5119</v>
      </c>
      <c r="J1983" s="12" t="str">
        <f>HYPERLINK("https://www.boe.es/gazeta/dias/1803/03/15/pdfs/GMD-1803-21.pdf#page=12","Abrir facsímil")</f>
        <v>Abrir facsímil</v>
      </c>
      <c r="K1983" s="15" t="s">
        <v>23</v>
      </c>
    </row>
    <row r="1984" spans="1:11" ht="42" customHeight="1">
      <c r="A1984" s="4" t="s">
        <v>5120</v>
      </c>
      <c r="B1984" s="5" t="s">
        <v>5121</v>
      </c>
      <c r="C1984" s="5" t="s">
        <v>26</v>
      </c>
      <c r="D1984" s="5" t="s">
        <v>27</v>
      </c>
      <c r="E1984" s="5" t="s">
        <v>300</v>
      </c>
      <c r="F1984" s="9">
        <v>96</v>
      </c>
      <c r="G1984" s="9">
        <v>1034</v>
      </c>
      <c r="H1984" s="5" t="s">
        <v>21</v>
      </c>
      <c r="I1984" s="5" t="s">
        <v>5122</v>
      </c>
      <c r="J1984" s="12" t="str">
        <f>HYPERLINK("https://www.boe.es/gazeta/dias/1803/11/29/pdfs/GMD-1803-96.pdf#page=10","Abrir facsímil")</f>
        <v>Abrir facsímil</v>
      </c>
      <c r="K1984" s="15" t="s">
        <v>23</v>
      </c>
    </row>
    <row r="1985" spans="1:11" ht="42" customHeight="1">
      <c r="A1985" s="4" t="s">
        <v>5123</v>
      </c>
      <c r="B1985" s="5" t="s">
        <v>5124</v>
      </c>
      <c r="C1985" s="5" t="s">
        <v>46</v>
      </c>
      <c r="D1985" s="5" t="s">
        <v>19</v>
      </c>
      <c r="E1985" s="5" t="s">
        <v>231</v>
      </c>
      <c r="F1985" s="9">
        <v>26</v>
      </c>
      <c r="G1985" s="9">
        <v>283</v>
      </c>
      <c r="H1985" s="5" t="s">
        <v>21</v>
      </c>
      <c r="I1985" s="5" t="s">
        <v>5125</v>
      </c>
      <c r="J1985" s="12" t="str">
        <f>HYPERLINK("https://www.boe.es/gazeta/dias/1803/04/01/pdfs/GMD-1803-26.pdf#page=11","Abrir facsímil")</f>
        <v>Abrir facsímil</v>
      </c>
      <c r="K1985" s="15" t="s">
        <v>23</v>
      </c>
    </row>
    <row r="1986" spans="1:11" ht="42" customHeight="1">
      <c r="A1986" s="4" t="s">
        <v>5126</v>
      </c>
      <c r="B1986" s="5" t="s">
        <v>5127</v>
      </c>
      <c r="C1986" s="5" t="s">
        <v>51</v>
      </c>
      <c r="D1986" s="5" t="s">
        <v>52</v>
      </c>
      <c r="E1986" s="5" t="s">
        <v>160</v>
      </c>
      <c r="F1986" s="9">
        <v>81</v>
      </c>
      <c r="G1986" s="9">
        <v>872</v>
      </c>
      <c r="H1986" s="5" t="s">
        <v>21</v>
      </c>
      <c r="I1986" s="5" t="s">
        <v>5128</v>
      </c>
      <c r="J1986" s="12" t="str">
        <f>HYPERLINK("https://www.boe.es/gazeta/dias/1803/10/07/pdfs/GMD-1803-81.pdf#page=8","Abrir facsímil")</f>
        <v>Abrir facsímil</v>
      </c>
      <c r="K1986" s="15" t="s">
        <v>23</v>
      </c>
    </row>
    <row r="1987" spans="1:11" ht="42" customHeight="1">
      <c r="A1987" s="4" t="s">
        <v>5129</v>
      </c>
      <c r="B1987" s="5" t="s">
        <v>5130</v>
      </c>
      <c r="C1987" s="5" t="s">
        <v>26</v>
      </c>
      <c r="D1987" s="5" t="s">
        <v>27</v>
      </c>
      <c r="E1987" s="5" t="s">
        <v>71</v>
      </c>
      <c r="F1987" s="9">
        <v>39</v>
      </c>
      <c r="G1987" s="9">
        <v>412</v>
      </c>
      <c r="H1987" s="5" t="s">
        <v>21</v>
      </c>
      <c r="I1987" s="5" t="s">
        <v>5131</v>
      </c>
      <c r="J1987" s="12" t="str">
        <f>HYPERLINK("https://www.boe.es/gazeta/dias/1803/05/17/pdfs/GMD-1803-39.pdf#page=8","Abrir facsímil")</f>
        <v>Abrir facsímil</v>
      </c>
      <c r="K1987" s="15" t="s">
        <v>23</v>
      </c>
    </row>
    <row r="1988" spans="1:11" ht="42" customHeight="1">
      <c r="A1988" s="4" t="s">
        <v>5132</v>
      </c>
      <c r="B1988" s="5" t="s">
        <v>5133</v>
      </c>
      <c r="C1988" s="5" t="s">
        <v>26</v>
      </c>
      <c r="D1988" s="5" t="s">
        <v>27</v>
      </c>
      <c r="E1988" s="5" t="s">
        <v>71</v>
      </c>
      <c r="F1988" s="9">
        <v>39</v>
      </c>
      <c r="G1988" s="9">
        <v>413</v>
      </c>
      <c r="H1988" s="5" t="s">
        <v>21</v>
      </c>
      <c r="I1988" s="5" t="s">
        <v>5134</v>
      </c>
      <c r="J1988" s="12" t="str">
        <f>HYPERLINK("https://www.boe.es/gazeta/dias/1803/05/17/pdfs/GMD-1803-39.pdf#page=9","Abrir facsímil")</f>
        <v>Abrir facsímil</v>
      </c>
      <c r="K1988" s="15" t="s">
        <v>23</v>
      </c>
    </row>
    <row r="1989" spans="1:11" ht="42" customHeight="1">
      <c r="A1989" s="4" t="s">
        <v>5135</v>
      </c>
      <c r="B1989" s="5" t="s">
        <v>5136</v>
      </c>
      <c r="C1989" s="5" t="s">
        <v>26</v>
      </c>
      <c r="D1989" s="5" t="s">
        <v>27</v>
      </c>
      <c r="E1989" s="5" t="s">
        <v>53</v>
      </c>
      <c r="F1989" s="9">
        <v>99</v>
      </c>
      <c r="G1989" s="9">
        <v>1063</v>
      </c>
      <c r="H1989" s="5" t="s">
        <v>21</v>
      </c>
      <c r="I1989" s="5" t="s">
        <v>5137</v>
      </c>
      <c r="J1989" s="12" t="str">
        <f>HYPERLINK("https://www.boe.es/gazeta/dias/1803/12/09/pdfs/GMD-1803-99.pdf#page=11","Abrir facsímil")</f>
        <v>Abrir facsímil</v>
      </c>
      <c r="K1989" s="15" t="s">
        <v>23</v>
      </c>
    </row>
    <row r="1990" spans="1:11" ht="42" customHeight="1">
      <c r="A1990" s="4" t="s">
        <v>5138</v>
      </c>
      <c r="B1990" s="5" t="s">
        <v>5139</v>
      </c>
      <c r="C1990" s="5" t="s">
        <v>26</v>
      </c>
      <c r="D1990" s="5" t="s">
        <v>27</v>
      </c>
      <c r="E1990" s="5" t="s">
        <v>1846</v>
      </c>
      <c r="F1990" s="9">
        <v>89</v>
      </c>
      <c r="G1990" s="9">
        <v>959</v>
      </c>
      <c r="H1990" s="5" t="s">
        <v>21</v>
      </c>
      <c r="I1990" s="5" t="s">
        <v>5140</v>
      </c>
      <c r="J1990" s="12" t="str">
        <f>HYPERLINK("https://www.boe.es/gazeta/dias/1803/11/04/pdfs/GMD-1803-89.pdf#page=7","Abrir facsímil")</f>
        <v>Abrir facsímil</v>
      </c>
      <c r="K1990" s="15" t="s">
        <v>23</v>
      </c>
    </row>
    <row r="1991" spans="1:11" ht="42" customHeight="1">
      <c r="A1991" s="4" t="s">
        <v>5141</v>
      </c>
      <c r="B1991" s="5" t="s">
        <v>5142</v>
      </c>
      <c r="C1991" s="5" t="s">
        <v>26</v>
      </c>
      <c r="D1991" s="5" t="s">
        <v>27</v>
      </c>
      <c r="E1991" s="5" t="s">
        <v>752</v>
      </c>
      <c r="F1991" s="9">
        <v>30</v>
      </c>
      <c r="G1991" s="9">
        <v>320</v>
      </c>
      <c r="H1991" s="5" t="s">
        <v>21</v>
      </c>
      <c r="I1991" s="5" t="s">
        <v>5143</v>
      </c>
      <c r="J1991" s="12" t="str">
        <f>HYPERLINK("https://www.boe.es/gazeta/dias/1803/04/15/pdfs/GMD-1803-30.pdf#page=8","Abrir facsímil")</f>
        <v>Abrir facsímil</v>
      </c>
      <c r="K1991" s="15" t="s">
        <v>23</v>
      </c>
    </row>
    <row r="1992" spans="1:11" ht="42" customHeight="1">
      <c r="A1992" s="4" t="s">
        <v>5144</v>
      </c>
      <c r="B1992" s="5" t="s">
        <v>5145</v>
      </c>
      <c r="C1992" s="5" t="s">
        <v>40</v>
      </c>
      <c r="D1992" s="5" t="s">
        <v>41</v>
      </c>
      <c r="E1992" s="5" t="s">
        <v>336</v>
      </c>
      <c r="F1992" s="9">
        <v>105</v>
      </c>
      <c r="G1992" s="9">
        <v>1120</v>
      </c>
      <c r="H1992" s="5" t="s">
        <v>21</v>
      </c>
      <c r="I1992" s="5" t="s">
        <v>5146</v>
      </c>
      <c r="J1992" s="12" t="str">
        <f>HYPERLINK("https://www.boe.es/gazeta/dias/1803/12/30/pdfs/GMD-1803-105.pdf#page=4","Abrir facsímil")</f>
        <v>Abrir facsímil</v>
      </c>
      <c r="K1992" s="15" t="s">
        <v>23</v>
      </c>
    </row>
    <row r="1993" spans="1:11" ht="42" customHeight="1">
      <c r="A1993" s="4" t="s">
        <v>5147</v>
      </c>
      <c r="B1993" s="5" t="s">
        <v>5148</v>
      </c>
      <c r="C1993" s="5" t="s">
        <v>51</v>
      </c>
      <c r="D1993" s="5" t="s">
        <v>52</v>
      </c>
      <c r="E1993" s="5" t="s">
        <v>203</v>
      </c>
      <c r="F1993" s="9">
        <v>32</v>
      </c>
      <c r="G1993" s="9">
        <v>335</v>
      </c>
      <c r="H1993" s="5" t="s">
        <v>21</v>
      </c>
      <c r="I1993" s="5" t="s">
        <v>5149</v>
      </c>
      <c r="J1993" s="12" t="str">
        <f>HYPERLINK("https://www.boe.es/gazeta/dias/1803/04/22/pdfs/GMD-1803-32.pdf#page=7","Abrir facsímil")</f>
        <v>Abrir facsímil</v>
      </c>
      <c r="K1993" s="15" t="s">
        <v>23</v>
      </c>
    </row>
    <row r="1994" spans="1:11" ht="42" customHeight="1">
      <c r="A1994" s="4" t="s">
        <v>5150</v>
      </c>
      <c r="B1994" s="5" t="s">
        <v>5151</v>
      </c>
      <c r="C1994" s="5" t="s">
        <v>26</v>
      </c>
      <c r="D1994" s="5" t="s">
        <v>27</v>
      </c>
      <c r="E1994" s="5" t="s">
        <v>203</v>
      </c>
      <c r="F1994" s="9">
        <v>32</v>
      </c>
      <c r="G1994" s="9">
        <v>336</v>
      </c>
      <c r="H1994" s="5" t="s">
        <v>21</v>
      </c>
      <c r="I1994" s="5" t="s">
        <v>5152</v>
      </c>
      <c r="J1994" s="12" t="str">
        <f>HYPERLINK("https://www.boe.es/gazeta/dias/1803/04/22/pdfs/GMD-1803-32.pdf#page=8","Abrir facsímil")</f>
        <v>Abrir facsímil</v>
      </c>
      <c r="K1994" s="15" t="s">
        <v>23</v>
      </c>
    </row>
    <row r="1995" spans="1:11" ht="42" customHeight="1">
      <c r="A1995" s="4" t="s">
        <v>5153</v>
      </c>
      <c r="B1995" s="5" t="s">
        <v>5154</v>
      </c>
      <c r="C1995" s="5" t="s">
        <v>18</v>
      </c>
      <c r="D1995" s="5" t="s">
        <v>19</v>
      </c>
      <c r="E1995" s="5" t="s">
        <v>83</v>
      </c>
      <c r="F1995" s="9">
        <v>28</v>
      </c>
      <c r="G1995" s="9">
        <v>303</v>
      </c>
      <c r="H1995" s="5" t="s">
        <v>21</v>
      </c>
      <c r="I1995" s="5" t="s">
        <v>5155</v>
      </c>
      <c r="J1995" s="12" t="str">
        <f>HYPERLINK("https://www.boe.es/gazeta/dias/1803/04/08/pdfs/GMD-1803-28.pdf#page=7","Abrir facsímil")</f>
        <v>Abrir facsímil</v>
      </c>
      <c r="K1995" s="15" t="s">
        <v>23</v>
      </c>
    </row>
    <row r="1996" spans="1:11" ht="42" customHeight="1">
      <c r="A1996" s="4" t="s">
        <v>5156</v>
      </c>
      <c r="B1996" s="5" t="s">
        <v>5157</v>
      </c>
      <c r="C1996" s="5" t="s">
        <v>18</v>
      </c>
      <c r="D1996" s="5" t="s">
        <v>19</v>
      </c>
      <c r="E1996" s="5" t="s">
        <v>138</v>
      </c>
      <c r="F1996" s="9">
        <v>68</v>
      </c>
      <c r="G1996" s="9">
        <v>741</v>
      </c>
      <c r="H1996" s="5" t="s">
        <v>21</v>
      </c>
      <c r="I1996" s="5" t="s">
        <v>5158</v>
      </c>
      <c r="J1996" s="12" t="str">
        <f>HYPERLINK("https://www.boe.es/gazeta/dias/1803/08/26/pdfs/GMD-1803-68.pdf#page=9","Abrir facsímil")</f>
        <v>Abrir facsímil</v>
      </c>
      <c r="K1996" s="15" t="s">
        <v>23</v>
      </c>
    </row>
    <row r="1997" spans="1:11" ht="42" customHeight="1">
      <c r="A1997" s="4" t="s">
        <v>5159</v>
      </c>
      <c r="B1997" s="5" t="s">
        <v>5160</v>
      </c>
      <c r="C1997" s="5" t="s">
        <v>18</v>
      </c>
      <c r="D1997" s="5" t="s">
        <v>19</v>
      </c>
      <c r="E1997" s="5" t="s">
        <v>85</v>
      </c>
      <c r="F1997" s="9">
        <v>49</v>
      </c>
      <c r="G1997" s="9">
        <v>522</v>
      </c>
      <c r="H1997" s="5" t="s">
        <v>21</v>
      </c>
      <c r="I1997" s="5" t="s">
        <v>5161</v>
      </c>
      <c r="J1997" s="12" t="str">
        <f>HYPERLINK("https://www.boe.es/gazeta/dias/1803/06/21/pdfs/GMD-1803-49.pdf#page=10","Abrir facsímil")</f>
        <v>Abrir facsímil</v>
      </c>
      <c r="K1997" s="15" t="s">
        <v>23</v>
      </c>
    </row>
    <row r="1998" spans="1:11" ht="42" customHeight="1">
      <c r="A1998" s="4" t="s">
        <v>5162</v>
      </c>
      <c r="B1998" s="5" t="s">
        <v>5163</v>
      </c>
      <c r="C1998" s="5" t="s">
        <v>26</v>
      </c>
      <c r="D1998" s="5" t="s">
        <v>27</v>
      </c>
      <c r="E1998" s="5" t="s">
        <v>523</v>
      </c>
      <c r="F1998" s="9">
        <v>101</v>
      </c>
      <c r="G1998" s="9">
        <v>1084</v>
      </c>
      <c r="H1998" s="5" t="s">
        <v>21</v>
      </c>
      <c r="I1998" s="5" t="s">
        <v>5164</v>
      </c>
      <c r="J1998" s="12" t="str">
        <f>HYPERLINK("https://www.boe.es/gazeta/dias/1803/12/16/pdfs/GMD-1803-101.pdf#page=8","Abrir facsímil")</f>
        <v>Abrir facsímil</v>
      </c>
      <c r="K1998" s="15" t="s">
        <v>23</v>
      </c>
    </row>
    <row r="1999" spans="1:11" ht="42" customHeight="1">
      <c r="A1999" s="4" t="s">
        <v>5165</v>
      </c>
      <c r="B1999" s="5" t="s">
        <v>5166</v>
      </c>
      <c r="C1999" s="5" t="s">
        <v>26</v>
      </c>
      <c r="D1999" s="5" t="s">
        <v>27</v>
      </c>
      <c r="E1999" s="5" t="s">
        <v>174</v>
      </c>
      <c r="F1999" s="9">
        <v>21</v>
      </c>
      <c r="G1999" s="9">
        <v>223</v>
      </c>
      <c r="H1999" s="5" t="s">
        <v>21</v>
      </c>
      <c r="I1999" s="5" t="s">
        <v>5167</v>
      </c>
      <c r="J1999" s="12" t="str">
        <f>HYPERLINK("https://www.boe.es/gazeta/dias/1803/03/15/pdfs/GMD-1803-21.pdf#page=7","Abrir facsímil")</f>
        <v>Abrir facsímil</v>
      </c>
      <c r="K1999" s="15" t="s">
        <v>23</v>
      </c>
    </row>
    <row r="2000" spans="1:11" ht="42" customHeight="1">
      <c r="A2000" s="4" t="s">
        <v>5165</v>
      </c>
      <c r="B2000" s="5" t="s">
        <v>5166</v>
      </c>
      <c r="C2000" s="5" t="s">
        <v>26</v>
      </c>
      <c r="D2000" s="5" t="s">
        <v>27</v>
      </c>
      <c r="E2000" s="5" t="s">
        <v>57</v>
      </c>
      <c r="F2000" s="9">
        <v>51</v>
      </c>
      <c r="G2000" s="9">
        <v>553</v>
      </c>
      <c r="H2000" s="5" t="s">
        <v>21</v>
      </c>
      <c r="I2000" s="5" t="s">
        <v>5168</v>
      </c>
      <c r="J2000" s="12" t="str">
        <f>HYPERLINK("https://www.boe.es/gazeta/dias/1803/06/28/pdfs/GMD-1803-51.pdf#page=9","Abrir facsímil")</f>
        <v>Abrir facsímil</v>
      </c>
      <c r="K2000" s="15" t="s">
        <v>23</v>
      </c>
    </row>
    <row r="2001" spans="1:11" ht="42" customHeight="1">
      <c r="A2001" s="4" t="s">
        <v>5169</v>
      </c>
      <c r="B2001" s="5" t="s">
        <v>5170</v>
      </c>
      <c r="C2001" s="5" t="s">
        <v>51</v>
      </c>
      <c r="D2001" s="5" t="s">
        <v>52</v>
      </c>
      <c r="E2001" s="5" t="s">
        <v>109</v>
      </c>
      <c r="F2001" s="9">
        <v>102</v>
      </c>
      <c r="G2001" s="9">
        <v>1097</v>
      </c>
      <c r="H2001" s="5" t="s">
        <v>21</v>
      </c>
      <c r="I2001" s="5" t="s">
        <v>5171</v>
      </c>
      <c r="J2001" s="12" t="str">
        <f>HYPERLINK("https://www.boe.es/gazeta/dias/1803/12/20/pdfs/GMD-1803-102.pdf#page=9","Abrir facsímil")</f>
        <v>Abrir facsímil</v>
      </c>
      <c r="K2001" s="15" t="s">
        <v>23</v>
      </c>
    </row>
    <row r="2002" spans="1:11" ht="42" customHeight="1">
      <c r="A2002" s="4" t="s">
        <v>5172</v>
      </c>
      <c r="B2002" s="5" t="s">
        <v>5173</v>
      </c>
      <c r="C2002" s="5" t="s">
        <v>80</v>
      </c>
      <c r="D2002" s="5" t="s">
        <v>81</v>
      </c>
      <c r="E2002" s="5" t="s">
        <v>189</v>
      </c>
      <c r="F2002" s="9">
        <v>9</v>
      </c>
      <c r="G2002" s="9">
        <v>96</v>
      </c>
      <c r="H2002" s="5" t="s">
        <v>21</v>
      </c>
      <c r="I2002" s="5" t="s">
        <v>5174</v>
      </c>
      <c r="J2002" s="12" t="str">
        <f>HYPERLINK("https://www.boe.es/gazeta/dias/1803/02/01/pdfs/GMD-1803-9.pdf#page=12","Abrir facsímil")</f>
        <v>Abrir facsímil</v>
      </c>
      <c r="K2002" s="15" t="s">
        <v>23</v>
      </c>
    </row>
    <row r="2003" spans="1:11" ht="42" customHeight="1">
      <c r="A2003" s="4" t="s">
        <v>5175</v>
      </c>
      <c r="B2003" s="5" t="s">
        <v>5176</v>
      </c>
      <c r="C2003" s="5" t="s">
        <v>46</v>
      </c>
      <c r="D2003" s="5" t="s">
        <v>19</v>
      </c>
      <c r="E2003" s="5" t="s">
        <v>395</v>
      </c>
      <c r="F2003" s="9">
        <v>13</v>
      </c>
      <c r="G2003" s="9">
        <v>136</v>
      </c>
      <c r="H2003" s="5" t="s">
        <v>21</v>
      </c>
      <c r="I2003" s="5" t="s">
        <v>5177</v>
      </c>
      <c r="J2003" s="12" t="str">
        <f>HYPERLINK("https://www.boe.es/gazeta/dias/1803/02/15/pdfs/GMD-1803-13.pdf#page=12","Abrir facsímil")</f>
        <v>Abrir facsímil</v>
      </c>
      <c r="K2003" s="15" t="s">
        <v>23</v>
      </c>
    </row>
    <row r="2004" spans="1:11" ht="42" customHeight="1">
      <c r="A2004" s="4" t="s">
        <v>5175</v>
      </c>
      <c r="B2004" s="5" t="s">
        <v>5176</v>
      </c>
      <c r="C2004" s="5" t="s">
        <v>46</v>
      </c>
      <c r="D2004" s="5" t="s">
        <v>19</v>
      </c>
      <c r="E2004" s="5" t="s">
        <v>174</v>
      </c>
      <c r="F2004" s="9">
        <v>21</v>
      </c>
      <c r="G2004" s="9">
        <v>227</v>
      </c>
      <c r="H2004" s="5" t="s">
        <v>21</v>
      </c>
      <c r="I2004" s="5" t="s">
        <v>5178</v>
      </c>
      <c r="J2004" s="12" t="str">
        <f>HYPERLINK("https://www.boe.es/gazeta/dias/1803/03/15/pdfs/GMD-1803-21.pdf#page=11","Abrir facsímil")</f>
        <v>Abrir facsímil</v>
      </c>
      <c r="K2004" s="15" t="s">
        <v>23</v>
      </c>
    </row>
    <row r="2005" spans="1:11" ht="42" customHeight="1">
      <c r="A2005" s="4" t="s">
        <v>5175</v>
      </c>
      <c r="B2005" s="5" t="s">
        <v>5176</v>
      </c>
      <c r="C2005" s="5" t="s">
        <v>46</v>
      </c>
      <c r="D2005" s="5" t="s">
        <v>19</v>
      </c>
      <c r="E2005" s="5" t="s">
        <v>272</v>
      </c>
      <c r="F2005" s="9">
        <v>25</v>
      </c>
      <c r="G2005" s="9">
        <v>267</v>
      </c>
      <c r="H2005" s="5" t="s">
        <v>21</v>
      </c>
      <c r="I2005" s="5" t="s">
        <v>5179</v>
      </c>
      <c r="J2005" s="12" t="str">
        <f>HYPERLINK("https://www.boe.es/gazeta/dias/1803/03/29/pdfs/GMD-1803-25.pdf#page=7","Abrir facsímil")</f>
        <v>Abrir facsímil</v>
      </c>
      <c r="K2005" s="15" t="s">
        <v>23</v>
      </c>
    </row>
    <row r="2006" spans="1:11" ht="42" customHeight="1">
      <c r="A2006" s="4" t="s">
        <v>5175</v>
      </c>
      <c r="B2006" s="5" t="s">
        <v>5176</v>
      </c>
      <c r="C2006" s="5" t="s">
        <v>26</v>
      </c>
      <c r="D2006" s="5" t="s">
        <v>27</v>
      </c>
      <c r="E2006" s="5" t="s">
        <v>289</v>
      </c>
      <c r="F2006" s="9">
        <v>38</v>
      </c>
      <c r="G2006" s="9">
        <v>403</v>
      </c>
      <c r="H2006" s="5" t="s">
        <v>21</v>
      </c>
      <c r="I2006" s="5" t="s">
        <v>5180</v>
      </c>
      <c r="J2006" s="12" t="str">
        <f>HYPERLINK("https://www.boe.es/gazeta/dias/1803/05/13/pdfs/GMD-1803-38.pdf#page=11","Abrir facsímil")</f>
        <v>Abrir facsímil</v>
      </c>
      <c r="K2006" s="15" t="s">
        <v>23</v>
      </c>
    </row>
    <row r="2007" spans="1:11" ht="42" customHeight="1">
      <c r="A2007" s="4" t="s">
        <v>5175</v>
      </c>
      <c r="B2007" s="5" t="s">
        <v>5176</v>
      </c>
      <c r="C2007" s="5" t="s">
        <v>46</v>
      </c>
      <c r="D2007" s="5" t="s">
        <v>19</v>
      </c>
      <c r="E2007" s="5" t="s">
        <v>57</v>
      </c>
      <c r="F2007" s="9">
        <v>51</v>
      </c>
      <c r="G2007" s="9">
        <v>555</v>
      </c>
      <c r="H2007" s="5" t="s">
        <v>21</v>
      </c>
      <c r="I2007" s="5" t="s">
        <v>5181</v>
      </c>
      <c r="J2007" s="12" t="str">
        <f>HYPERLINK("https://www.boe.es/gazeta/dias/1803/06/28/pdfs/GMD-1803-51.pdf#page=11","Abrir facsímil")</f>
        <v>Abrir facsímil</v>
      </c>
      <c r="K2007" s="15" t="s">
        <v>23</v>
      </c>
    </row>
    <row r="2008" spans="1:11" ht="42" customHeight="1">
      <c r="A2008" s="4" t="s">
        <v>5175</v>
      </c>
      <c r="B2008" s="5" t="s">
        <v>5176</v>
      </c>
      <c r="C2008" s="5" t="s">
        <v>80</v>
      </c>
      <c r="D2008" s="5" t="s">
        <v>81</v>
      </c>
      <c r="E2008" s="5" t="s">
        <v>403</v>
      </c>
      <c r="F2008" s="9">
        <v>91</v>
      </c>
      <c r="G2008" s="9">
        <v>979</v>
      </c>
      <c r="H2008" s="5" t="s">
        <v>21</v>
      </c>
      <c r="I2008" s="5" t="s">
        <v>5182</v>
      </c>
      <c r="J2008" s="12" t="str">
        <f>HYPERLINK("https://www.boe.es/gazeta/dias/1803/11/11/pdfs/GMD-1803-91.pdf#page=11","Abrir facsímil")</f>
        <v>Abrir facsímil</v>
      </c>
      <c r="K2008" s="15" t="s">
        <v>23</v>
      </c>
    </row>
    <row r="2009" spans="1:11" ht="42" customHeight="1">
      <c r="A2009" s="4" t="s">
        <v>5175</v>
      </c>
      <c r="B2009" s="5" t="s">
        <v>5176</v>
      </c>
      <c r="C2009" s="5" t="s">
        <v>26</v>
      </c>
      <c r="D2009" s="5" t="s">
        <v>27</v>
      </c>
      <c r="E2009" s="5" t="s">
        <v>113</v>
      </c>
      <c r="F2009" s="9">
        <v>93</v>
      </c>
      <c r="G2009" s="9">
        <v>999</v>
      </c>
      <c r="H2009" s="5" t="s">
        <v>21</v>
      </c>
      <c r="I2009" s="5" t="s">
        <v>5183</v>
      </c>
      <c r="J2009" s="12" t="str">
        <f>HYPERLINK("https://www.boe.es/gazeta/dias/1803/11/18/pdfs/GMD-1803-93.pdf#page=11","Abrir facsímil")</f>
        <v>Abrir facsímil</v>
      </c>
      <c r="K2009" s="15" t="s">
        <v>23</v>
      </c>
    </row>
    <row r="2010" spans="1:11" ht="42" customHeight="1">
      <c r="A2010" s="4" t="s">
        <v>5184</v>
      </c>
      <c r="B2010" s="5" t="s">
        <v>5185</v>
      </c>
      <c r="C2010" s="5" t="s">
        <v>46</v>
      </c>
      <c r="D2010" s="5" t="s">
        <v>19</v>
      </c>
      <c r="E2010" s="5" t="s">
        <v>389</v>
      </c>
      <c r="F2010" s="9">
        <v>41</v>
      </c>
      <c r="G2010" s="9">
        <v>431</v>
      </c>
      <c r="H2010" s="5" t="s">
        <v>21</v>
      </c>
      <c r="I2010" s="5" t="s">
        <v>5186</v>
      </c>
      <c r="J2010" s="12" t="str">
        <f>HYPERLINK("https://www.boe.es/gazeta/dias/1803/05/24/pdfs/GMD-1803-41.pdf#page=7","Abrir facsímil")</f>
        <v>Abrir facsímil</v>
      </c>
      <c r="K2010" s="15" t="s">
        <v>23</v>
      </c>
    </row>
    <row r="2011" spans="1:11" ht="42" customHeight="1">
      <c r="A2011" s="4" t="s">
        <v>5184</v>
      </c>
      <c r="B2011" s="5" t="s">
        <v>5185</v>
      </c>
      <c r="C2011" s="5" t="s">
        <v>46</v>
      </c>
      <c r="D2011" s="5" t="s">
        <v>19</v>
      </c>
      <c r="E2011" s="5" t="s">
        <v>1915</v>
      </c>
      <c r="F2011" s="9">
        <v>44</v>
      </c>
      <c r="G2011" s="9">
        <v>460</v>
      </c>
      <c r="H2011" s="5" t="s">
        <v>21</v>
      </c>
      <c r="I2011" s="5" t="s">
        <v>5187</v>
      </c>
      <c r="J2011" s="12" t="str">
        <f>HYPERLINK("https://www.boe.es/gazeta/dias/1803/06/03/pdfs/GMD-1803-44.pdf#page=8","Abrir facsímil")</f>
        <v>Abrir facsímil</v>
      </c>
      <c r="K2011" s="15" t="s">
        <v>23</v>
      </c>
    </row>
    <row r="2012" spans="1:11" ht="42" customHeight="1">
      <c r="A2012" s="4" t="s">
        <v>5188</v>
      </c>
      <c r="B2012" s="5" t="s">
        <v>5189</v>
      </c>
      <c r="C2012" s="5" t="s">
        <v>18</v>
      </c>
      <c r="D2012" s="5" t="s">
        <v>19</v>
      </c>
      <c r="E2012" s="5" t="s">
        <v>403</v>
      </c>
      <c r="F2012" s="9">
        <v>91</v>
      </c>
      <c r="G2012" s="9">
        <v>976</v>
      </c>
      <c r="H2012" s="5" t="s">
        <v>21</v>
      </c>
      <c r="I2012" s="5" t="s">
        <v>5190</v>
      </c>
      <c r="J2012" s="12" t="str">
        <f>HYPERLINK("https://www.boe.es/gazeta/dias/1803/11/11/pdfs/GMD-1803-91.pdf#page=8","Abrir facsímil")</f>
        <v>Abrir facsímil</v>
      </c>
      <c r="K2012" s="15" t="s">
        <v>23</v>
      </c>
    </row>
    <row r="2013" spans="1:11" ht="42" customHeight="1">
      <c r="A2013" s="4" t="s">
        <v>5191</v>
      </c>
      <c r="B2013" s="5" t="s">
        <v>5191</v>
      </c>
      <c r="C2013" s="5" t="s">
        <v>18</v>
      </c>
      <c r="D2013" s="5" t="s">
        <v>19</v>
      </c>
      <c r="E2013" s="5" t="s">
        <v>395</v>
      </c>
      <c r="F2013" s="9">
        <v>13</v>
      </c>
      <c r="G2013" s="9">
        <v>133</v>
      </c>
      <c r="H2013" s="5" t="s">
        <v>21</v>
      </c>
      <c r="I2013" s="5" t="s">
        <v>5192</v>
      </c>
      <c r="J2013" s="12" t="str">
        <f>HYPERLINK("https://www.boe.es/gazeta/dias/1803/02/15/pdfs/GMD-1803-13.pdf#page=9","Abrir facsímil")</f>
        <v>Abrir facsímil</v>
      </c>
      <c r="K2013" s="15" t="s">
        <v>23</v>
      </c>
    </row>
    <row r="2014" spans="1:11" ht="42" customHeight="1">
      <c r="A2014" s="4" t="s">
        <v>5193</v>
      </c>
      <c r="B2014" s="5" t="s">
        <v>5194</v>
      </c>
      <c r="C2014" s="5" t="s">
        <v>26</v>
      </c>
      <c r="D2014" s="5" t="s">
        <v>27</v>
      </c>
      <c r="E2014" s="5" t="s">
        <v>752</v>
      </c>
      <c r="F2014" s="9">
        <v>30</v>
      </c>
      <c r="G2014" s="9">
        <v>320</v>
      </c>
      <c r="H2014" s="5" t="s">
        <v>21</v>
      </c>
      <c r="I2014" s="5" t="s">
        <v>5195</v>
      </c>
      <c r="J2014" s="12" t="str">
        <f>HYPERLINK("https://www.boe.es/gazeta/dias/1803/04/15/pdfs/GMD-1803-30.pdf#page=8","Abrir facsímil")</f>
        <v>Abrir facsímil</v>
      </c>
      <c r="K2014" s="15" t="s">
        <v>23</v>
      </c>
    </row>
    <row r="2015" spans="1:11" ht="42" customHeight="1">
      <c r="A2015" s="4" t="s">
        <v>5196</v>
      </c>
      <c r="B2015" s="5" t="s">
        <v>5197</v>
      </c>
      <c r="C2015" s="5" t="s">
        <v>80</v>
      </c>
      <c r="D2015" s="5" t="s">
        <v>81</v>
      </c>
      <c r="E2015" s="5" t="s">
        <v>293</v>
      </c>
      <c r="F2015" s="9">
        <v>45</v>
      </c>
      <c r="G2015" s="9">
        <v>476</v>
      </c>
      <c r="H2015" s="5" t="s">
        <v>21</v>
      </c>
      <c r="I2015" s="5" t="s">
        <v>5198</v>
      </c>
      <c r="J2015" s="12" t="str">
        <f>HYPERLINK("https://www.boe.es/gazeta/dias/1803/06/07/pdfs/GMD-1803-45.pdf#page=12","Abrir facsímil")</f>
        <v>Abrir facsímil</v>
      </c>
      <c r="K2015" s="15" t="s">
        <v>23</v>
      </c>
    </row>
    <row r="2016" spans="1:11" ht="42" customHeight="1">
      <c r="A2016" s="4" t="s">
        <v>5199</v>
      </c>
      <c r="B2016" s="5" t="s">
        <v>5200</v>
      </c>
      <c r="C2016" s="5" t="s">
        <v>80</v>
      </c>
      <c r="D2016" s="5" t="s">
        <v>81</v>
      </c>
      <c r="E2016" s="5" t="s">
        <v>630</v>
      </c>
      <c r="F2016" s="9">
        <v>85</v>
      </c>
      <c r="G2016" s="9">
        <v>919</v>
      </c>
      <c r="H2016" s="5" t="s">
        <v>21</v>
      </c>
      <c r="I2016" s="5" t="s">
        <v>5201</v>
      </c>
      <c r="J2016" s="12" t="str">
        <f>HYPERLINK("https://www.boe.es/gazeta/dias/1803/10/21/pdfs/GMD-1803-85.pdf#page=11","Abrir facsímil")</f>
        <v>Abrir facsímil</v>
      </c>
      <c r="K2016" s="15" t="s">
        <v>23</v>
      </c>
    </row>
    <row r="2017" spans="1:11" ht="42" customHeight="1">
      <c r="A2017" s="4" t="s">
        <v>5202</v>
      </c>
      <c r="B2017" s="5" t="s">
        <v>5203</v>
      </c>
      <c r="C2017" s="5" t="s">
        <v>26</v>
      </c>
      <c r="D2017" s="5" t="s">
        <v>27</v>
      </c>
      <c r="E2017" s="5" t="s">
        <v>75</v>
      </c>
      <c r="F2017" s="9">
        <v>56</v>
      </c>
      <c r="G2017" s="9">
        <v>611</v>
      </c>
      <c r="H2017" s="5" t="s">
        <v>21</v>
      </c>
      <c r="I2017" s="5" t="s">
        <v>5204</v>
      </c>
      <c r="J2017" s="12" t="str">
        <f>HYPERLINK("https://www.boe.es/gazeta/dias/1803/07/15/pdfs/GMD-1803-56.pdf#page=7","Abrir facsímil")</f>
        <v>Abrir facsímil</v>
      </c>
      <c r="K2017" s="15" t="s">
        <v>23</v>
      </c>
    </row>
    <row r="2018" spans="1:11" ht="42" customHeight="1">
      <c r="A2018" s="4" t="s">
        <v>5205</v>
      </c>
      <c r="B2018" s="5" t="s">
        <v>5206</v>
      </c>
      <c r="C2018" s="5" t="s">
        <v>18</v>
      </c>
      <c r="D2018" s="5" t="s">
        <v>19</v>
      </c>
      <c r="E2018" s="5" t="s">
        <v>417</v>
      </c>
      <c r="F2018" s="9">
        <v>72</v>
      </c>
      <c r="G2018" s="9">
        <v>786</v>
      </c>
      <c r="H2018" s="5" t="s">
        <v>21</v>
      </c>
      <c r="I2018" s="5" t="s">
        <v>5207</v>
      </c>
      <c r="J2018" s="12" t="str">
        <f>HYPERLINK("https://www.boe.es/gazeta/dias/1803/09/09/pdfs/GMD-1803-72.pdf#page=6","Abrir facsímil")</f>
        <v>Abrir facsímil</v>
      </c>
      <c r="K2018" s="15" t="s">
        <v>23</v>
      </c>
    </row>
    <row r="2019" spans="1:11" ht="42" customHeight="1">
      <c r="A2019" s="4" t="s">
        <v>5208</v>
      </c>
      <c r="B2019" s="5" t="s">
        <v>5209</v>
      </c>
      <c r="C2019" s="5" t="s">
        <v>51</v>
      </c>
      <c r="D2019" s="5" t="s">
        <v>52</v>
      </c>
      <c r="E2019" s="5" t="s">
        <v>99</v>
      </c>
      <c r="F2019" s="9">
        <v>29</v>
      </c>
      <c r="G2019" s="9">
        <v>311</v>
      </c>
      <c r="H2019" s="5" t="s">
        <v>21</v>
      </c>
      <c r="I2019" s="5" t="s">
        <v>5210</v>
      </c>
      <c r="J2019" s="12" t="str">
        <f>HYPERLINK("https://www.boe.es/gazeta/dias/1803/04/12/pdfs/GMD-1803-29.pdf#page=7","Abrir facsímil")</f>
        <v>Abrir facsímil</v>
      </c>
      <c r="K2019" s="15" t="s">
        <v>23</v>
      </c>
    </row>
    <row r="2020" spans="1:11" ht="42" customHeight="1">
      <c r="A2020" s="4" t="s">
        <v>5211</v>
      </c>
      <c r="B2020" s="5" t="s">
        <v>5212</v>
      </c>
      <c r="C2020" s="5" t="s">
        <v>80</v>
      </c>
      <c r="D2020" s="5" t="s">
        <v>81</v>
      </c>
      <c r="E2020" s="5" t="s">
        <v>752</v>
      </c>
      <c r="F2020" s="9">
        <v>30</v>
      </c>
      <c r="G2020" s="9">
        <v>320</v>
      </c>
      <c r="H2020" s="5" t="s">
        <v>21</v>
      </c>
      <c r="I2020" s="5" t="s">
        <v>5213</v>
      </c>
      <c r="J2020" s="12" t="str">
        <f>HYPERLINK("https://www.boe.es/gazeta/dias/1803/04/15/pdfs/GMD-1803-30.pdf#page=8","Abrir facsímil")</f>
        <v>Abrir facsímil</v>
      </c>
      <c r="K2020" s="15" t="s">
        <v>23</v>
      </c>
    </row>
    <row r="2021" spans="1:11" ht="42" customHeight="1">
      <c r="A2021" s="4" t="s">
        <v>5214</v>
      </c>
      <c r="B2021" s="5" t="s">
        <v>5215</v>
      </c>
      <c r="C2021" s="5" t="s">
        <v>26</v>
      </c>
      <c r="D2021" s="5" t="s">
        <v>27</v>
      </c>
      <c r="E2021" s="5" t="s">
        <v>403</v>
      </c>
      <c r="F2021" s="9">
        <v>91</v>
      </c>
      <c r="G2021" s="9">
        <v>976</v>
      </c>
      <c r="H2021" s="5" t="s">
        <v>21</v>
      </c>
      <c r="I2021" s="5" t="s">
        <v>5216</v>
      </c>
      <c r="J2021" s="12" t="str">
        <f>HYPERLINK("https://www.boe.es/gazeta/dias/1803/11/11/pdfs/GMD-1803-91.pdf#page=8","Abrir facsímil")</f>
        <v>Abrir facsímil</v>
      </c>
      <c r="K2021" s="15" t="s">
        <v>23</v>
      </c>
    </row>
    <row r="2022" spans="1:11" ht="42" customHeight="1">
      <c r="A2022" s="4" t="s">
        <v>5217</v>
      </c>
      <c r="B2022" s="5" t="s">
        <v>5218</v>
      </c>
      <c r="C2022" s="5" t="s">
        <v>26</v>
      </c>
      <c r="D2022" s="5" t="s">
        <v>27</v>
      </c>
      <c r="E2022" s="5" t="s">
        <v>75</v>
      </c>
      <c r="F2022" s="9">
        <v>56</v>
      </c>
      <c r="G2022" s="9">
        <v>611</v>
      </c>
      <c r="H2022" s="5" t="s">
        <v>21</v>
      </c>
      <c r="I2022" s="5" t="s">
        <v>5219</v>
      </c>
      <c r="J2022" s="12" t="str">
        <f>HYPERLINK("https://www.boe.es/gazeta/dias/1803/07/15/pdfs/GMD-1803-56.pdf#page=7","Abrir facsímil")</f>
        <v>Abrir facsímil</v>
      </c>
      <c r="K2022" s="15" t="s">
        <v>23</v>
      </c>
    </row>
    <row r="2023" spans="1:11" ht="42" customHeight="1">
      <c r="A2023" s="4" t="s">
        <v>5217</v>
      </c>
      <c r="B2023" s="5" t="s">
        <v>5218</v>
      </c>
      <c r="C2023" s="5" t="s">
        <v>18</v>
      </c>
      <c r="D2023" s="5" t="s">
        <v>19</v>
      </c>
      <c r="E2023" s="5" t="s">
        <v>523</v>
      </c>
      <c r="F2023" s="9">
        <v>101</v>
      </c>
      <c r="G2023" s="9">
        <v>1086</v>
      </c>
      <c r="H2023" s="5" t="s">
        <v>21</v>
      </c>
      <c r="I2023" s="5" t="s">
        <v>5220</v>
      </c>
      <c r="J2023" s="12" t="str">
        <f>HYPERLINK("https://www.boe.es/gazeta/dias/1803/12/16/pdfs/GMD-1803-101.pdf#page=10","Abrir facsímil")</f>
        <v>Abrir facsímil</v>
      </c>
      <c r="K2023" s="15" t="s">
        <v>23</v>
      </c>
    </row>
    <row r="2024" spans="1:11" ht="42" customHeight="1">
      <c r="A2024" s="4" t="s">
        <v>5221</v>
      </c>
      <c r="B2024" s="5" t="s">
        <v>5222</v>
      </c>
      <c r="C2024" s="5" t="s">
        <v>51</v>
      </c>
      <c r="D2024" s="5" t="s">
        <v>52</v>
      </c>
      <c r="E2024" s="5" t="s">
        <v>303</v>
      </c>
      <c r="F2024" s="9">
        <v>8</v>
      </c>
      <c r="G2024" s="9">
        <v>79</v>
      </c>
      <c r="H2024" s="5" t="s">
        <v>21</v>
      </c>
      <c r="I2024" s="5" t="s">
        <v>5223</v>
      </c>
      <c r="J2024" s="12" t="str">
        <f>HYPERLINK("https://www.boe.es/gazeta/dias/1803/01/28/pdfs/GMD-1803-8.pdf#page=7","Abrir facsímil")</f>
        <v>Abrir facsímil</v>
      </c>
      <c r="K2024" s="15" t="s">
        <v>23</v>
      </c>
    </row>
    <row r="2025" spans="1:11" ht="42" customHeight="1">
      <c r="A2025" s="4" t="s">
        <v>5224</v>
      </c>
      <c r="B2025" s="5" t="s">
        <v>5225</v>
      </c>
      <c r="C2025" s="5" t="s">
        <v>26</v>
      </c>
      <c r="D2025" s="5" t="s">
        <v>27</v>
      </c>
      <c r="E2025" s="5" t="s">
        <v>32</v>
      </c>
      <c r="F2025" s="9">
        <v>74</v>
      </c>
      <c r="G2025" s="9">
        <v>803</v>
      </c>
      <c r="H2025" s="5" t="s">
        <v>21</v>
      </c>
      <c r="I2025" s="5" t="s">
        <v>5226</v>
      </c>
      <c r="J2025" s="12" t="str">
        <f>HYPERLINK("https://www.boe.es/gazeta/dias/1803/09/13/pdfs/GMD-1803-74.pdf#page=7","Abrir facsímil")</f>
        <v>Abrir facsímil</v>
      </c>
      <c r="K2025" s="15" t="s">
        <v>23</v>
      </c>
    </row>
    <row r="2026" spans="1:11" ht="42" customHeight="1">
      <c r="A2026" s="4" t="s">
        <v>5227</v>
      </c>
      <c r="B2026" s="5" t="s">
        <v>5228</v>
      </c>
      <c r="C2026" s="5" t="s">
        <v>51</v>
      </c>
      <c r="D2026" s="5" t="s">
        <v>52</v>
      </c>
      <c r="E2026" s="5" t="s">
        <v>514</v>
      </c>
      <c r="F2026" s="9">
        <v>42</v>
      </c>
      <c r="G2026" s="9">
        <v>439</v>
      </c>
      <c r="H2026" s="5" t="s">
        <v>21</v>
      </c>
      <c r="I2026" s="5" t="s">
        <v>5229</v>
      </c>
      <c r="J2026" s="12" t="str">
        <f>HYPERLINK("https://www.boe.es/gazeta/dias/1803/05/27/pdfs/GMD-1803-42.pdf#page=7","Abrir facsímil")</f>
        <v>Abrir facsímil</v>
      </c>
      <c r="K2026" s="15" t="s">
        <v>23</v>
      </c>
    </row>
    <row r="2027" spans="1:11" ht="42" customHeight="1">
      <c r="A2027" s="4" t="s">
        <v>5230</v>
      </c>
      <c r="B2027" s="5" t="s">
        <v>5231</v>
      </c>
      <c r="C2027" s="5" t="s">
        <v>46</v>
      </c>
      <c r="D2027" s="5" t="s">
        <v>19</v>
      </c>
      <c r="E2027" s="5" t="s">
        <v>57</v>
      </c>
      <c r="F2027" s="9">
        <v>51</v>
      </c>
      <c r="G2027" s="9">
        <v>555</v>
      </c>
      <c r="H2027" s="5" t="s">
        <v>21</v>
      </c>
      <c r="I2027" s="5" t="s">
        <v>5232</v>
      </c>
      <c r="J2027" s="12" t="str">
        <f>HYPERLINK("https://www.boe.es/gazeta/dias/1803/06/28/pdfs/GMD-1803-51.pdf#page=11","Abrir facsímil")</f>
        <v>Abrir facsímil</v>
      </c>
      <c r="K2027" s="15" t="s">
        <v>23</v>
      </c>
    </row>
    <row r="2028" spans="1:11" ht="42" customHeight="1">
      <c r="A2028" s="4" t="s">
        <v>5233</v>
      </c>
      <c r="B2028" s="5" t="s">
        <v>5234</v>
      </c>
      <c r="C2028" s="5" t="s">
        <v>18</v>
      </c>
      <c r="D2028" s="5" t="s">
        <v>19</v>
      </c>
      <c r="E2028" s="5" t="s">
        <v>109</v>
      </c>
      <c r="F2028" s="9">
        <v>102</v>
      </c>
      <c r="G2028" s="9">
        <v>1097</v>
      </c>
      <c r="H2028" s="5" t="s">
        <v>21</v>
      </c>
      <c r="I2028" s="5" t="s">
        <v>5235</v>
      </c>
      <c r="J2028" s="12" t="str">
        <f>HYPERLINK("https://www.boe.es/gazeta/dias/1803/12/20/pdfs/GMD-1803-102.pdf#page=9","Abrir facsímil")</f>
        <v>Abrir facsímil</v>
      </c>
      <c r="K2028" s="15" t="s">
        <v>23</v>
      </c>
    </row>
    <row r="2029" spans="1:11" ht="42" customHeight="1">
      <c r="A2029" s="4" t="s">
        <v>5236</v>
      </c>
      <c r="B2029" s="5" t="s">
        <v>5237</v>
      </c>
      <c r="C2029" s="5" t="s">
        <v>26</v>
      </c>
      <c r="D2029" s="5" t="s">
        <v>27</v>
      </c>
      <c r="E2029" s="5" t="s">
        <v>152</v>
      </c>
      <c r="F2029" s="9">
        <v>16</v>
      </c>
      <c r="G2029" s="9">
        <v>166</v>
      </c>
      <c r="H2029" s="5" t="s">
        <v>21</v>
      </c>
      <c r="I2029" s="5" t="s">
        <v>5238</v>
      </c>
      <c r="J2029" s="12" t="str">
        <f>HYPERLINK("https://www.boe.es/gazeta/dias/1803/02/25/pdfs/GMD-1803-16.pdf#page=6","Abrir facsímil")</f>
        <v>Abrir facsímil</v>
      </c>
      <c r="K2029" s="15" t="s">
        <v>23</v>
      </c>
    </row>
    <row r="2030" spans="1:11" ht="42" customHeight="1">
      <c r="A2030" s="4" t="s">
        <v>5239</v>
      </c>
      <c r="B2030" s="5" t="s">
        <v>5240</v>
      </c>
      <c r="C2030" s="5" t="s">
        <v>51</v>
      </c>
      <c r="D2030" s="5" t="s">
        <v>52</v>
      </c>
      <c r="E2030" s="5" t="s">
        <v>174</v>
      </c>
      <c r="F2030" s="9">
        <v>21</v>
      </c>
      <c r="G2030" s="9">
        <v>226</v>
      </c>
      <c r="H2030" s="5" t="s">
        <v>21</v>
      </c>
      <c r="I2030" s="5" t="s">
        <v>5241</v>
      </c>
      <c r="J2030" s="12" t="str">
        <f>HYPERLINK("https://www.boe.es/gazeta/dias/1803/03/15/pdfs/GMD-1803-21.pdf#page=10","Abrir facsímil")</f>
        <v>Abrir facsímil</v>
      </c>
      <c r="K2030" s="15" t="s">
        <v>23</v>
      </c>
    </row>
    <row r="2031" spans="1:11" ht="42" customHeight="1">
      <c r="A2031" s="4" t="s">
        <v>5239</v>
      </c>
      <c r="B2031" s="5" t="s">
        <v>5240</v>
      </c>
      <c r="C2031" s="5" t="s">
        <v>225</v>
      </c>
      <c r="D2031" s="5" t="s">
        <v>226</v>
      </c>
      <c r="E2031" s="5" t="s">
        <v>609</v>
      </c>
      <c r="F2031" s="9">
        <v>57</v>
      </c>
      <c r="G2031" s="9">
        <v>622</v>
      </c>
      <c r="H2031" s="5" t="s">
        <v>21</v>
      </c>
      <c r="I2031" s="5" t="s">
        <v>5242</v>
      </c>
      <c r="J2031" s="12" t="str">
        <f>HYPERLINK("https://www.boe.es/gazeta/dias/1803/07/19/pdfs/GMD-C-1803-57.pdf#page=2","Abrir facsímil")</f>
        <v>Abrir facsímil</v>
      </c>
      <c r="K2031" s="15" t="s">
        <v>23</v>
      </c>
    </row>
    <row r="2032" spans="1:11" ht="42" customHeight="1">
      <c r="A2032" s="4" t="s">
        <v>5239</v>
      </c>
      <c r="B2032" s="5" t="s">
        <v>5240</v>
      </c>
      <c r="C2032" s="5" t="s">
        <v>51</v>
      </c>
      <c r="D2032" s="5" t="s">
        <v>52</v>
      </c>
      <c r="E2032" s="5" t="s">
        <v>113</v>
      </c>
      <c r="F2032" s="9">
        <v>93</v>
      </c>
      <c r="G2032" s="9">
        <v>997</v>
      </c>
      <c r="H2032" s="5" t="s">
        <v>21</v>
      </c>
      <c r="I2032" s="5" t="s">
        <v>5243</v>
      </c>
      <c r="J2032" s="12" t="str">
        <f>HYPERLINK("https://www.boe.es/gazeta/dias/1803/11/18/pdfs/GMD-1803-93.pdf#page=9","Abrir facsímil")</f>
        <v>Abrir facsímil</v>
      </c>
      <c r="K2032" s="15" t="s">
        <v>23</v>
      </c>
    </row>
    <row r="2033" spans="1:11" ht="42" customHeight="1">
      <c r="A2033" s="4" t="s">
        <v>5244</v>
      </c>
      <c r="B2033" s="5" t="s">
        <v>5245</v>
      </c>
      <c r="C2033" s="5" t="s">
        <v>46</v>
      </c>
      <c r="D2033" s="5" t="s">
        <v>19</v>
      </c>
      <c r="E2033" s="5" t="s">
        <v>657</v>
      </c>
      <c r="F2033" s="9">
        <v>24</v>
      </c>
      <c r="G2033" s="9">
        <v>258</v>
      </c>
      <c r="H2033" s="5" t="s">
        <v>21</v>
      </c>
      <c r="I2033" s="5" t="s">
        <v>5246</v>
      </c>
      <c r="J2033" s="12" t="str">
        <f>HYPERLINK("https://www.boe.es/gazeta/dias/1803/03/25/pdfs/GMD-1803-24.pdf#page=10","Abrir facsímil")</f>
        <v>Abrir facsímil</v>
      </c>
      <c r="K2033" s="15" t="s">
        <v>23</v>
      </c>
    </row>
    <row r="2034" spans="1:11" ht="42" customHeight="1">
      <c r="A2034" s="4" t="s">
        <v>5244</v>
      </c>
      <c r="B2034" s="5" t="s">
        <v>5245</v>
      </c>
      <c r="C2034" s="5" t="s">
        <v>46</v>
      </c>
      <c r="D2034" s="5" t="s">
        <v>19</v>
      </c>
      <c r="E2034" s="5" t="s">
        <v>300</v>
      </c>
      <c r="F2034" s="9">
        <v>96</v>
      </c>
      <c r="G2034" s="9">
        <v>1036</v>
      </c>
      <c r="H2034" s="5" t="s">
        <v>21</v>
      </c>
      <c r="I2034" s="5" t="s">
        <v>5247</v>
      </c>
      <c r="J2034" s="12" t="str">
        <f>HYPERLINK("https://www.boe.es/gazeta/dias/1803/11/29/pdfs/GMD-1803-96.pdf#page=12","Abrir facsímil")</f>
        <v>Abrir facsímil</v>
      </c>
      <c r="K2034" s="15" t="s">
        <v>23</v>
      </c>
    </row>
    <row r="2035" spans="1:11" ht="42" customHeight="1">
      <c r="A2035" s="4" t="s">
        <v>5248</v>
      </c>
      <c r="B2035" s="5" t="s">
        <v>5249</v>
      </c>
      <c r="C2035" s="5" t="s">
        <v>26</v>
      </c>
      <c r="D2035" s="5" t="s">
        <v>27</v>
      </c>
      <c r="E2035" s="5" t="s">
        <v>83</v>
      </c>
      <c r="F2035" s="9">
        <v>28</v>
      </c>
      <c r="G2035" s="9">
        <v>302</v>
      </c>
      <c r="H2035" s="5" t="s">
        <v>21</v>
      </c>
      <c r="I2035" s="5" t="s">
        <v>5250</v>
      </c>
      <c r="J2035" s="12" t="str">
        <f>HYPERLINK("https://www.boe.es/gazeta/dias/1803/04/08/pdfs/GMD-1803-28.pdf#page=6","Abrir facsímil")</f>
        <v>Abrir facsímil</v>
      </c>
      <c r="K2035" s="15" t="s">
        <v>23</v>
      </c>
    </row>
    <row r="2036" spans="1:11" ht="42" customHeight="1">
      <c r="A2036" s="4" t="s">
        <v>5251</v>
      </c>
      <c r="B2036" s="5" t="s">
        <v>5252</v>
      </c>
      <c r="C2036" s="5" t="s">
        <v>26</v>
      </c>
      <c r="D2036" s="5" t="s">
        <v>27</v>
      </c>
      <c r="E2036" s="5" t="s">
        <v>403</v>
      </c>
      <c r="F2036" s="9">
        <v>91</v>
      </c>
      <c r="G2036" s="9">
        <v>977</v>
      </c>
      <c r="H2036" s="5" t="s">
        <v>21</v>
      </c>
      <c r="I2036" s="5" t="s">
        <v>5253</v>
      </c>
      <c r="J2036" s="12" t="str">
        <f>HYPERLINK("https://www.boe.es/gazeta/dias/1803/11/11/pdfs/GMD-1803-91.pdf#page=9","Abrir facsímil")</f>
        <v>Abrir facsímil</v>
      </c>
      <c r="K2036" s="15" t="s">
        <v>23</v>
      </c>
    </row>
    <row r="2037" spans="1:11" ht="42" customHeight="1">
      <c r="A2037" s="4" t="s">
        <v>5254</v>
      </c>
      <c r="B2037" s="5" t="s">
        <v>5255</v>
      </c>
      <c r="C2037" s="5" t="s">
        <v>40</v>
      </c>
      <c r="D2037" s="5" t="s">
        <v>41</v>
      </c>
      <c r="E2037" s="5" t="s">
        <v>164</v>
      </c>
      <c r="F2037" s="9">
        <v>84</v>
      </c>
      <c r="G2037" s="9">
        <v>902</v>
      </c>
      <c r="H2037" s="5" t="s">
        <v>21</v>
      </c>
      <c r="I2037" s="5" t="s">
        <v>5256</v>
      </c>
      <c r="J2037" s="12" t="str">
        <f>HYPERLINK("https://www.boe.es/gazeta/dias/1803/10/18/pdfs/GMD-1803-84.pdf#page=6","Abrir facsímil")</f>
        <v>Abrir facsímil</v>
      </c>
      <c r="K2037" s="15" t="s">
        <v>23</v>
      </c>
    </row>
    <row r="2038" spans="1:11" ht="42" customHeight="1">
      <c r="A2038" s="4" t="s">
        <v>5257</v>
      </c>
      <c r="B2038" s="5" t="s">
        <v>5258</v>
      </c>
      <c r="C2038" s="5" t="s">
        <v>18</v>
      </c>
      <c r="D2038" s="5" t="s">
        <v>19</v>
      </c>
      <c r="E2038" s="5" t="s">
        <v>403</v>
      </c>
      <c r="F2038" s="9">
        <v>91</v>
      </c>
      <c r="G2038" s="9">
        <v>976</v>
      </c>
      <c r="H2038" s="5" t="s">
        <v>21</v>
      </c>
      <c r="I2038" s="5" t="s">
        <v>5259</v>
      </c>
      <c r="J2038" s="12" t="str">
        <f>HYPERLINK("https://www.boe.es/gazeta/dias/1803/11/11/pdfs/GMD-1803-91.pdf#page=8","Abrir facsímil")</f>
        <v>Abrir facsímil</v>
      </c>
      <c r="K2038" s="15" t="s">
        <v>23</v>
      </c>
    </row>
    <row r="2039" spans="1:11" ht="42" customHeight="1">
      <c r="A2039" s="4" t="s">
        <v>5260</v>
      </c>
      <c r="B2039" s="5" t="s">
        <v>5261</v>
      </c>
      <c r="C2039" s="5" t="s">
        <v>26</v>
      </c>
      <c r="D2039" s="5" t="s">
        <v>27</v>
      </c>
      <c r="E2039" s="5" t="s">
        <v>191</v>
      </c>
      <c r="F2039" s="9">
        <v>34</v>
      </c>
      <c r="G2039" s="9">
        <v>358</v>
      </c>
      <c r="H2039" s="5" t="s">
        <v>21</v>
      </c>
      <c r="I2039" s="5" t="s">
        <v>5262</v>
      </c>
      <c r="J2039" s="12" t="str">
        <f>HYPERLINK("https://www.boe.es/gazeta/dias/1803/04/29/pdfs/GMD-1803-34.pdf#page=6","Abrir facsímil")</f>
        <v>Abrir facsímil</v>
      </c>
      <c r="K2039" s="15" t="s">
        <v>23</v>
      </c>
    </row>
    <row r="2040" spans="1:11" ht="42" customHeight="1">
      <c r="A2040" s="4" t="s">
        <v>5263</v>
      </c>
      <c r="B2040" s="5" t="s">
        <v>5264</v>
      </c>
      <c r="C2040" s="5" t="s">
        <v>26</v>
      </c>
      <c r="D2040" s="5" t="s">
        <v>27</v>
      </c>
      <c r="E2040" s="5" t="s">
        <v>657</v>
      </c>
      <c r="F2040" s="9">
        <v>24</v>
      </c>
      <c r="G2040" s="9">
        <v>256</v>
      </c>
      <c r="H2040" s="5" t="s">
        <v>21</v>
      </c>
      <c r="I2040" s="5" t="s">
        <v>5265</v>
      </c>
      <c r="J2040" s="12" t="str">
        <f>HYPERLINK("https://www.boe.es/gazeta/dias/1803/03/25/pdfs/GMD-1803-24.pdf#page=8","Abrir facsímil")</f>
        <v>Abrir facsímil</v>
      </c>
      <c r="K2040" s="15" t="s">
        <v>23</v>
      </c>
    </row>
    <row r="2041" spans="1:11" ht="42" customHeight="1">
      <c r="A2041" s="4" t="s">
        <v>5263</v>
      </c>
      <c r="B2041" s="5" t="s">
        <v>5264</v>
      </c>
      <c r="C2041" s="5" t="s">
        <v>26</v>
      </c>
      <c r="D2041" s="5" t="s">
        <v>27</v>
      </c>
      <c r="E2041" s="5" t="s">
        <v>199</v>
      </c>
      <c r="F2041" s="9">
        <v>88</v>
      </c>
      <c r="G2041" s="9">
        <v>947</v>
      </c>
      <c r="H2041" s="5" t="s">
        <v>21</v>
      </c>
      <c r="I2041" s="5" t="s">
        <v>5266</v>
      </c>
      <c r="J2041" s="12" t="str">
        <f>HYPERLINK("https://www.boe.es/gazeta/dias/1803/11/01/pdfs/GMD-1803-88.pdf#page=7","Abrir facsímil")</f>
        <v>Abrir facsímil</v>
      </c>
      <c r="K2041" s="15" t="s">
        <v>23</v>
      </c>
    </row>
    <row r="2042" spans="1:11" ht="42" customHeight="1">
      <c r="A2042" s="4" t="s">
        <v>5263</v>
      </c>
      <c r="B2042" s="5" t="s">
        <v>5264</v>
      </c>
      <c r="C2042" s="5" t="s">
        <v>26</v>
      </c>
      <c r="D2042" s="5" t="s">
        <v>27</v>
      </c>
      <c r="E2042" s="5" t="s">
        <v>300</v>
      </c>
      <c r="F2042" s="9">
        <v>96</v>
      </c>
      <c r="G2042" s="9">
        <v>1034</v>
      </c>
      <c r="H2042" s="5" t="s">
        <v>21</v>
      </c>
      <c r="I2042" s="5" t="s">
        <v>5267</v>
      </c>
      <c r="J2042" s="12" t="str">
        <f>HYPERLINK("https://www.boe.es/gazeta/dias/1803/11/29/pdfs/GMD-1803-96.pdf#page=10","Abrir facsímil")</f>
        <v>Abrir facsímil</v>
      </c>
      <c r="K2042" s="15" t="s">
        <v>23</v>
      </c>
    </row>
    <row r="2043" spans="1:11" ht="42" customHeight="1">
      <c r="A2043" s="4" t="s">
        <v>5268</v>
      </c>
      <c r="B2043" s="5" t="s">
        <v>5269</v>
      </c>
      <c r="C2043" s="5" t="s">
        <v>51</v>
      </c>
      <c r="D2043" s="5" t="s">
        <v>52</v>
      </c>
      <c r="E2043" s="5" t="s">
        <v>496</v>
      </c>
      <c r="F2043" s="9">
        <v>90</v>
      </c>
      <c r="G2043" s="9">
        <v>966</v>
      </c>
      <c r="H2043" s="5" t="s">
        <v>21</v>
      </c>
      <c r="I2043" s="5" t="s">
        <v>5270</v>
      </c>
      <c r="J2043" s="12" t="str">
        <f>HYPERLINK("https://www.boe.es/gazeta/dias/1803/11/08/pdfs/GMD-1803-90.pdf#page=6","Abrir facsímil")</f>
        <v>Abrir facsímil</v>
      </c>
      <c r="K2043" s="15" t="s">
        <v>23</v>
      </c>
    </row>
    <row r="2044" spans="1:11" ht="42" customHeight="1">
      <c r="A2044" s="4" t="s">
        <v>5271</v>
      </c>
      <c r="B2044" s="5" t="s">
        <v>5272</v>
      </c>
      <c r="C2044" s="5" t="s">
        <v>26</v>
      </c>
      <c r="D2044" s="5" t="s">
        <v>27</v>
      </c>
      <c r="E2044" s="5" t="s">
        <v>218</v>
      </c>
      <c r="F2044" s="9">
        <v>19</v>
      </c>
      <c r="G2044" s="9">
        <v>202</v>
      </c>
      <c r="H2044" s="5" t="s">
        <v>21</v>
      </c>
      <c r="I2044" s="5" t="s">
        <v>5273</v>
      </c>
      <c r="J2044" s="12" t="str">
        <f>HYPERLINK("https://www.boe.es/gazeta/dias/1803/03/08/pdfs/GMD-1803-19.pdf#page=10","Abrir facsímil")</f>
        <v>Abrir facsímil</v>
      </c>
      <c r="K2044" s="15" t="s">
        <v>23</v>
      </c>
    </row>
    <row r="2045" spans="1:11" ht="42" customHeight="1">
      <c r="A2045" s="4" t="s">
        <v>5274</v>
      </c>
      <c r="B2045" s="5" t="s">
        <v>5275</v>
      </c>
      <c r="C2045" s="5" t="s">
        <v>51</v>
      </c>
      <c r="D2045" s="5" t="s">
        <v>52</v>
      </c>
      <c r="E2045" s="5" t="s">
        <v>71</v>
      </c>
      <c r="F2045" s="9">
        <v>39</v>
      </c>
      <c r="G2045" s="9">
        <v>411</v>
      </c>
      <c r="H2045" s="5" t="s">
        <v>21</v>
      </c>
      <c r="I2045" s="5" t="s">
        <v>5276</v>
      </c>
      <c r="J2045" s="12" t="str">
        <f>HYPERLINK("https://www.boe.es/gazeta/dias/1803/05/17/pdfs/GMD-1803-39.pdf#page=7","Abrir facsímil")</f>
        <v>Abrir facsímil</v>
      </c>
      <c r="K2045" s="15" t="s">
        <v>23</v>
      </c>
    </row>
    <row r="2046" spans="1:11" ht="42" customHeight="1">
      <c r="A2046" s="4" t="s">
        <v>5274</v>
      </c>
      <c r="B2046" s="5" t="s">
        <v>5275</v>
      </c>
      <c r="C2046" s="5" t="s">
        <v>26</v>
      </c>
      <c r="D2046" s="5" t="s">
        <v>27</v>
      </c>
      <c r="E2046" s="5" t="s">
        <v>261</v>
      </c>
      <c r="F2046" s="9">
        <v>70</v>
      </c>
      <c r="G2046" s="9">
        <v>766</v>
      </c>
      <c r="H2046" s="5" t="s">
        <v>21</v>
      </c>
      <c r="I2046" s="5" t="s">
        <v>5277</v>
      </c>
      <c r="J2046" s="12" t="str">
        <f>HYPERLINK("https://www.boe.es/gazeta/dias/1803/09/02/pdfs/GMD-1803-70.pdf#page=6","Abrir facsímil")</f>
        <v>Abrir facsímil</v>
      </c>
      <c r="K2046" s="15" t="s">
        <v>23</v>
      </c>
    </row>
    <row r="2047" spans="1:11" ht="42" customHeight="1">
      <c r="A2047" s="4" t="s">
        <v>5278</v>
      </c>
      <c r="B2047" s="5" t="s">
        <v>5279</v>
      </c>
      <c r="C2047" s="5" t="s">
        <v>26</v>
      </c>
      <c r="D2047" s="5" t="s">
        <v>27</v>
      </c>
      <c r="E2047" s="5" t="s">
        <v>373</v>
      </c>
      <c r="F2047" s="9">
        <v>77</v>
      </c>
      <c r="G2047" s="9">
        <v>834</v>
      </c>
      <c r="H2047" s="5" t="s">
        <v>21</v>
      </c>
      <c r="I2047" s="5" t="s">
        <v>5280</v>
      </c>
      <c r="J2047" s="12" t="str">
        <f>HYPERLINK("https://www.boe.es/gazeta/dias/1803/09/23/pdfs/GMD-1803-77.pdf#page=10","Abrir facsímil")</f>
        <v>Abrir facsímil</v>
      </c>
      <c r="K2047" s="15" t="s">
        <v>23</v>
      </c>
    </row>
    <row r="2048" spans="1:11" ht="42" customHeight="1">
      <c r="A2048" s="4" t="s">
        <v>5281</v>
      </c>
      <c r="B2048" s="5" t="s">
        <v>5282</v>
      </c>
      <c r="C2048" s="5" t="s">
        <v>46</v>
      </c>
      <c r="D2048" s="5" t="s">
        <v>19</v>
      </c>
      <c r="E2048" s="5" t="s">
        <v>619</v>
      </c>
      <c r="F2048" s="9">
        <v>53</v>
      </c>
      <c r="G2048" s="9">
        <v>580</v>
      </c>
      <c r="H2048" s="5" t="s">
        <v>21</v>
      </c>
      <c r="I2048" s="5" t="s">
        <v>5283</v>
      </c>
      <c r="J2048" s="12" t="str">
        <f>HYPERLINK("https://www.boe.es/gazeta/dias/1803/07/05/pdfs/GMD-1803-53.pdf#page=12","Abrir facsímil")</f>
        <v>Abrir facsímil</v>
      </c>
      <c r="K2048" s="15" t="s">
        <v>23</v>
      </c>
    </row>
    <row r="2049" spans="1:11" ht="42" customHeight="1">
      <c r="A2049" s="4" t="s">
        <v>5284</v>
      </c>
      <c r="B2049" s="5" t="s">
        <v>5285</v>
      </c>
      <c r="C2049" s="5" t="s">
        <v>46</v>
      </c>
      <c r="D2049" s="5" t="s">
        <v>19</v>
      </c>
      <c r="E2049" s="5" t="s">
        <v>910</v>
      </c>
      <c r="F2049" s="9">
        <v>66</v>
      </c>
      <c r="G2049" s="9">
        <v>719</v>
      </c>
      <c r="H2049" s="5" t="s">
        <v>21</v>
      </c>
      <c r="I2049" s="5" t="s">
        <v>5286</v>
      </c>
      <c r="J2049" s="12" t="str">
        <f>HYPERLINK("https://www.boe.es/gazeta/dias/1803/08/19/pdfs/GMD-1803-66.pdf#page=7","Abrir facsímil")</f>
        <v>Abrir facsímil</v>
      </c>
      <c r="K2049" s="15" t="s">
        <v>23</v>
      </c>
    </row>
    <row r="2050" spans="1:11" ht="42" customHeight="1">
      <c r="A2050" s="4" t="s">
        <v>5287</v>
      </c>
      <c r="B2050" s="5" t="s">
        <v>5288</v>
      </c>
      <c r="C2050" s="5" t="s">
        <v>26</v>
      </c>
      <c r="D2050" s="5" t="s">
        <v>27</v>
      </c>
      <c r="E2050" s="5" t="s">
        <v>373</v>
      </c>
      <c r="F2050" s="9">
        <v>77</v>
      </c>
      <c r="G2050" s="9">
        <v>834</v>
      </c>
      <c r="H2050" s="5" t="s">
        <v>21</v>
      </c>
      <c r="I2050" s="5" t="s">
        <v>5289</v>
      </c>
      <c r="J2050" s="12" t="str">
        <f>HYPERLINK("https://www.boe.es/gazeta/dias/1803/09/23/pdfs/GMD-1803-77.pdf#page=10","Abrir facsímil")</f>
        <v>Abrir facsímil</v>
      </c>
      <c r="K2050" s="15" t="s">
        <v>23</v>
      </c>
    </row>
    <row r="2051" spans="1:11" ht="42" customHeight="1">
      <c r="A2051" s="4" t="s">
        <v>5290</v>
      </c>
      <c r="B2051" s="5" t="s">
        <v>5291</v>
      </c>
      <c r="C2051" s="5" t="s">
        <v>26</v>
      </c>
      <c r="D2051" s="5" t="s">
        <v>27</v>
      </c>
      <c r="E2051" s="5" t="s">
        <v>138</v>
      </c>
      <c r="F2051" s="9">
        <v>68</v>
      </c>
      <c r="G2051" s="9">
        <v>742</v>
      </c>
      <c r="H2051" s="5" t="s">
        <v>21</v>
      </c>
      <c r="I2051" s="5" t="s">
        <v>5292</v>
      </c>
      <c r="J2051" s="12" t="str">
        <f>HYPERLINK("https://www.boe.es/gazeta/dias/1803/08/26/pdfs/GMD-1803-68.pdf#page=10","Abrir facsímil")</f>
        <v>Abrir facsímil</v>
      </c>
      <c r="K2051" s="15" t="s">
        <v>23</v>
      </c>
    </row>
    <row r="2052" spans="1:11" ht="42" customHeight="1">
      <c r="A2052" s="4" t="s">
        <v>5293</v>
      </c>
      <c r="B2052" s="5" t="s">
        <v>5294</v>
      </c>
      <c r="C2052" s="5" t="s">
        <v>26</v>
      </c>
      <c r="D2052" s="5" t="s">
        <v>27</v>
      </c>
      <c r="E2052" s="5" t="s">
        <v>207</v>
      </c>
      <c r="F2052" s="9">
        <v>27</v>
      </c>
      <c r="G2052" s="9">
        <v>292</v>
      </c>
      <c r="H2052" s="5" t="s">
        <v>21</v>
      </c>
      <c r="I2052" s="5" t="s">
        <v>5295</v>
      </c>
      <c r="J2052" s="12" t="str">
        <f>HYPERLINK("https://www.boe.es/gazeta/dias/1803/04/05/pdfs/GMD-1803-27.pdf#page=8","Abrir facsímil")</f>
        <v>Abrir facsímil</v>
      </c>
      <c r="K2052" s="15" t="s">
        <v>23</v>
      </c>
    </row>
    <row r="2053" spans="1:11" ht="42" customHeight="1">
      <c r="A2053" s="4" t="s">
        <v>5296</v>
      </c>
      <c r="B2053" s="5" t="s">
        <v>5297</v>
      </c>
      <c r="C2053" s="5" t="s">
        <v>26</v>
      </c>
      <c r="D2053" s="5" t="s">
        <v>27</v>
      </c>
      <c r="E2053" s="5" t="s">
        <v>496</v>
      </c>
      <c r="F2053" s="9">
        <v>90</v>
      </c>
      <c r="G2053" s="9">
        <v>966</v>
      </c>
      <c r="H2053" s="5" t="s">
        <v>21</v>
      </c>
      <c r="I2053" s="5" t="s">
        <v>5298</v>
      </c>
      <c r="J2053" s="12" t="str">
        <f>HYPERLINK("https://www.boe.es/gazeta/dias/1803/11/08/pdfs/GMD-1803-90.pdf#page=6","Abrir facsímil")</f>
        <v>Abrir facsímil</v>
      </c>
      <c r="K2053" s="15" t="s">
        <v>23</v>
      </c>
    </row>
    <row r="2054" spans="1:11" ht="42" customHeight="1">
      <c r="A2054" s="4" t="s">
        <v>5299</v>
      </c>
      <c r="B2054" s="5" t="s">
        <v>5300</v>
      </c>
      <c r="C2054" s="5" t="s">
        <v>26</v>
      </c>
      <c r="D2054" s="5" t="s">
        <v>27</v>
      </c>
      <c r="E2054" s="5" t="s">
        <v>32</v>
      </c>
      <c r="F2054" s="9">
        <v>74</v>
      </c>
      <c r="G2054" s="9">
        <v>803</v>
      </c>
      <c r="H2054" s="5" t="s">
        <v>21</v>
      </c>
      <c r="I2054" s="5" t="s">
        <v>5301</v>
      </c>
      <c r="J2054" s="12" t="str">
        <f>HYPERLINK("https://www.boe.es/gazeta/dias/1803/09/13/pdfs/GMD-1803-74.pdf#page=7","Abrir facsímil")</f>
        <v>Abrir facsímil</v>
      </c>
      <c r="K2054" s="15" t="s">
        <v>23</v>
      </c>
    </row>
    <row r="2055" spans="1:11" ht="42" customHeight="1">
      <c r="A2055" s="4" t="s">
        <v>5302</v>
      </c>
      <c r="B2055" s="5" t="s">
        <v>5303</v>
      </c>
      <c r="C2055" s="5" t="s">
        <v>40</v>
      </c>
      <c r="D2055" s="5" t="s">
        <v>41</v>
      </c>
      <c r="E2055" s="5" t="s">
        <v>403</v>
      </c>
      <c r="F2055" s="9">
        <v>91</v>
      </c>
      <c r="G2055" s="9">
        <v>972</v>
      </c>
      <c r="H2055" s="5" t="s">
        <v>21</v>
      </c>
      <c r="I2055" s="5" t="s">
        <v>5304</v>
      </c>
      <c r="J2055" s="12" t="str">
        <f>HYPERLINK("https://www.boe.es/gazeta/dias/1803/11/11/pdfs/GMD-1803-91.pdf#page=4","Abrir facsímil")</f>
        <v>Abrir facsímil</v>
      </c>
      <c r="K2055" s="15" t="s">
        <v>23</v>
      </c>
    </row>
    <row r="2056" spans="1:11" ht="42" customHeight="1">
      <c r="A2056" s="4" t="s">
        <v>5305</v>
      </c>
      <c r="B2056" s="5" t="s">
        <v>5305</v>
      </c>
      <c r="C2056" s="5" t="s">
        <v>26</v>
      </c>
      <c r="D2056" s="5" t="s">
        <v>27</v>
      </c>
      <c r="E2056" s="5" t="s">
        <v>214</v>
      </c>
      <c r="F2056" s="9">
        <v>17</v>
      </c>
      <c r="G2056" s="9">
        <v>174</v>
      </c>
      <c r="H2056" s="5" t="s">
        <v>21</v>
      </c>
      <c r="I2056" s="5" t="s">
        <v>5306</v>
      </c>
      <c r="J2056" s="12" t="str">
        <f>HYPERLINK("https://www.boe.es/gazeta/dias/1803/03/01/pdfs/GMD-1803-17.pdf#page=6","Abrir facsímil")</f>
        <v>Abrir facsímil</v>
      </c>
      <c r="K2056" s="15" t="s">
        <v>23</v>
      </c>
    </row>
    <row r="2057" spans="1:11" ht="42" customHeight="1">
      <c r="A2057" s="4" t="s">
        <v>5307</v>
      </c>
      <c r="B2057" s="5" t="s">
        <v>5307</v>
      </c>
      <c r="C2057" s="5" t="s">
        <v>26</v>
      </c>
      <c r="D2057" s="5" t="s">
        <v>27</v>
      </c>
      <c r="E2057" s="5" t="s">
        <v>555</v>
      </c>
      <c r="F2057" s="9">
        <v>83</v>
      </c>
      <c r="G2057" s="9">
        <v>894</v>
      </c>
      <c r="H2057" s="5" t="s">
        <v>21</v>
      </c>
      <c r="I2057" s="5" t="s">
        <v>5308</v>
      </c>
      <c r="J2057" s="12" t="str">
        <f>HYPERLINK("https://www.boe.es/gazeta/dias/1803/10/14/pdfs/GMD-1803-83.pdf#page=6","Abrir facsímil")</f>
        <v>Abrir facsímil</v>
      </c>
      <c r="K2057" s="15" t="s">
        <v>23</v>
      </c>
    </row>
    <row r="2058" spans="1:11" ht="42" customHeight="1">
      <c r="A2058" s="4" t="s">
        <v>5309</v>
      </c>
      <c r="B2058" s="5" t="s">
        <v>5310</v>
      </c>
      <c r="C2058" s="5" t="s">
        <v>18</v>
      </c>
      <c r="D2058" s="5" t="s">
        <v>19</v>
      </c>
      <c r="E2058" s="5" t="s">
        <v>752</v>
      </c>
      <c r="F2058" s="9">
        <v>30</v>
      </c>
      <c r="G2058" s="9">
        <v>314</v>
      </c>
      <c r="H2058" s="5" t="s">
        <v>21</v>
      </c>
      <c r="I2058" s="5" t="s">
        <v>5311</v>
      </c>
      <c r="J2058" s="12" t="str">
        <f>HYPERLINK("https://www.boe.es/gazeta/dias/1803/04/15/pdfs/GMD-1803-30.pdf#page=2","Abrir facsímil")</f>
        <v>Abrir facsímil</v>
      </c>
      <c r="K2058" s="15" t="s">
        <v>23</v>
      </c>
    </row>
    <row r="2059" spans="1:11" ht="42" customHeight="1">
      <c r="A2059" s="4" t="s">
        <v>5309</v>
      </c>
      <c r="B2059" s="5" t="s">
        <v>5310</v>
      </c>
      <c r="C2059" s="5" t="s">
        <v>40</v>
      </c>
      <c r="D2059" s="5" t="s">
        <v>41</v>
      </c>
      <c r="E2059" s="5" t="s">
        <v>784</v>
      </c>
      <c r="F2059" s="9">
        <v>86</v>
      </c>
      <c r="G2059" s="9">
        <v>922</v>
      </c>
      <c r="H2059" s="5" t="s">
        <v>21</v>
      </c>
      <c r="I2059" s="5" t="s">
        <v>5312</v>
      </c>
      <c r="J2059" s="12" t="str">
        <f>HYPERLINK("https://www.boe.es/gazeta/dias/1803/10/25/pdfs/GMD-1803-86.pdf#page=2","Abrir facsímil")</f>
        <v>Abrir facsímil</v>
      </c>
      <c r="K2059" s="15" t="s">
        <v>23</v>
      </c>
    </row>
    <row r="2060" spans="1:11" ht="42" customHeight="1">
      <c r="A2060" s="4" t="s">
        <v>5313</v>
      </c>
      <c r="B2060" s="5" t="s">
        <v>5314</v>
      </c>
      <c r="C2060" s="5" t="s">
        <v>40</v>
      </c>
      <c r="D2060" s="5" t="s">
        <v>41</v>
      </c>
      <c r="E2060" s="5" t="s">
        <v>218</v>
      </c>
      <c r="F2060" s="9">
        <v>19</v>
      </c>
      <c r="G2060" s="9">
        <v>196</v>
      </c>
      <c r="H2060" s="5" t="s">
        <v>21</v>
      </c>
      <c r="I2060" s="5" t="s">
        <v>5315</v>
      </c>
      <c r="J2060" s="12" t="str">
        <f>HYPERLINK("https://www.boe.es/gazeta/dias/1803/03/08/pdfs/GMD-1803-19.pdf#page=4","Abrir facsímil")</f>
        <v>Abrir facsímil</v>
      </c>
      <c r="K2060" s="15" t="s">
        <v>23</v>
      </c>
    </row>
    <row r="2061" spans="1:11" ht="42" customHeight="1">
      <c r="A2061" s="4" t="s">
        <v>5316</v>
      </c>
      <c r="B2061" s="5" t="s">
        <v>5317</v>
      </c>
      <c r="C2061" s="5" t="s">
        <v>18</v>
      </c>
      <c r="D2061" s="5" t="s">
        <v>19</v>
      </c>
      <c r="E2061" s="5" t="s">
        <v>20</v>
      </c>
      <c r="F2061" s="9">
        <v>97</v>
      </c>
      <c r="G2061" s="9">
        <v>1044</v>
      </c>
      <c r="H2061" s="5" t="s">
        <v>21</v>
      </c>
      <c r="I2061" s="5" t="s">
        <v>5318</v>
      </c>
      <c r="J2061" s="12" t="str">
        <f>HYPERLINK("https://www.boe.es/gazeta/dias/1803/12/02/pdfs/GMD-1803-97.pdf#page=8","Abrir facsímil")</f>
        <v>Abrir facsímil</v>
      </c>
      <c r="K2061" s="15" t="s">
        <v>23</v>
      </c>
    </row>
    <row r="2062" spans="1:11" ht="42" customHeight="1">
      <c r="A2062" s="4" t="s">
        <v>5319</v>
      </c>
      <c r="B2062" s="5" t="s">
        <v>5320</v>
      </c>
      <c r="C2062" s="5" t="s">
        <v>51</v>
      </c>
      <c r="D2062" s="5" t="s">
        <v>52</v>
      </c>
      <c r="E2062" s="5" t="s">
        <v>317</v>
      </c>
      <c r="F2062" s="9">
        <v>12</v>
      </c>
      <c r="G2062" s="9">
        <v>120</v>
      </c>
      <c r="H2062" s="5" t="s">
        <v>21</v>
      </c>
      <c r="I2062" s="5" t="s">
        <v>5321</v>
      </c>
      <c r="J2062" s="12" t="str">
        <f>HYPERLINK("https://www.boe.es/gazeta/dias/1803/02/11/pdfs/GMD-1803-12.pdf#page=8","Abrir facsímil")</f>
        <v>Abrir facsímil</v>
      </c>
      <c r="K2062" s="15" t="s">
        <v>23</v>
      </c>
    </row>
    <row r="2063" spans="1:11" ht="42" customHeight="1">
      <c r="A2063" s="4" t="s">
        <v>5322</v>
      </c>
      <c r="B2063" s="5" t="s">
        <v>5323</v>
      </c>
      <c r="C2063" s="5" t="s">
        <v>26</v>
      </c>
      <c r="D2063" s="5" t="s">
        <v>27</v>
      </c>
      <c r="E2063" s="5" t="s">
        <v>191</v>
      </c>
      <c r="F2063" s="9">
        <v>34</v>
      </c>
      <c r="G2063" s="9">
        <v>358</v>
      </c>
      <c r="H2063" s="5" t="s">
        <v>21</v>
      </c>
      <c r="I2063" s="5" t="s">
        <v>5324</v>
      </c>
      <c r="J2063" s="12" t="str">
        <f>HYPERLINK("https://www.boe.es/gazeta/dias/1803/04/29/pdfs/GMD-1803-34.pdf#page=6","Abrir facsímil")</f>
        <v>Abrir facsímil</v>
      </c>
      <c r="K2063" s="15" t="s">
        <v>23</v>
      </c>
    </row>
    <row r="2064" spans="1:11" ht="42" customHeight="1">
      <c r="A2064" s="4" t="s">
        <v>5325</v>
      </c>
      <c r="B2064" s="5" t="s">
        <v>5326</v>
      </c>
      <c r="C2064" s="5" t="s">
        <v>874</v>
      </c>
      <c r="D2064" s="5" t="s">
        <v>875</v>
      </c>
      <c r="E2064" s="5" t="s">
        <v>480</v>
      </c>
      <c r="F2064" s="9">
        <v>87</v>
      </c>
      <c r="G2064" s="9" t="s">
        <v>1213</v>
      </c>
      <c r="H2064" s="5" t="s">
        <v>21</v>
      </c>
      <c r="I2064" s="5" t="s">
        <v>5327</v>
      </c>
      <c r="J2064" s="12" t="str">
        <f>HYPERLINK("https://www.boe.es/gazeta/dias/1803/10/28/pdfs/GMD-C-1803-87.pdf#page=2","Abrir facsímil")</f>
        <v>Abrir facsímil</v>
      </c>
      <c r="K2064" s="15" t="s">
        <v>23</v>
      </c>
    </row>
    <row r="2065" spans="1:11" ht="42" customHeight="1">
      <c r="A2065" s="4" t="s">
        <v>5328</v>
      </c>
      <c r="B2065" s="5" t="s">
        <v>5329</v>
      </c>
      <c r="C2065" s="5" t="s">
        <v>26</v>
      </c>
      <c r="D2065" s="5" t="s">
        <v>27</v>
      </c>
      <c r="E2065" s="5" t="s">
        <v>231</v>
      </c>
      <c r="F2065" s="9">
        <v>26</v>
      </c>
      <c r="G2065" s="9">
        <v>282</v>
      </c>
      <c r="H2065" s="5" t="s">
        <v>21</v>
      </c>
      <c r="I2065" s="5" t="s">
        <v>5330</v>
      </c>
      <c r="J2065" s="12" t="str">
        <f>HYPERLINK("https://www.boe.es/gazeta/dias/1803/04/01/pdfs/GMD-1803-26.pdf#page=10","Abrir facsímil")</f>
        <v>Abrir facsímil</v>
      </c>
      <c r="K2065" s="15" t="s">
        <v>23</v>
      </c>
    </row>
    <row r="2066" spans="1:11" ht="42" customHeight="1">
      <c r="A2066" s="4" t="s">
        <v>5331</v>
      </c>
      <c r="B2066" s="5" t="s">
        <v>5332</v>
      </c>
      <c r="C2066" s="5" t="s">
        <v>26</v>
      </c>
      <c r="D2066" s="5" t="s">
        <v>27</v>
      </c>
      <c r="E2066" s="5" t="s">
        <v>919</v>
      </c>
      <c r="F2066" s="9">
        <v>69</v>
      </c>
      <c r="G2066" s="9">
        <v>750</v>
      </c>
      <c r="H2066" s="5" t="s">
        <v>21</v>
      </c>
      <c r="I2066" s="5" t="s">
        <v>5333</v>
      </c>
      <c r="J2066" s="12" t="str">
        <f>HYPERLINK("https://www.boe.es/gazeta/dias/1803/08/30/pdfs/GMD-1803-69.pdf#page=6","Abrir facsímil")</f>
        <v>Abrir facsímil</v>
      </c>
      <c r="K2066" s="15" t="s">
        <v>23</v>
      </c>
    </row>
    <row r="2067" spans="1:11" ht="42" customHeight="1">
      <c r="A2067" s="4" t="s">
        <v>5334</v>
      </c>
      <c r="B2067" s="5" t="s">
        <v>5335</v>
      </c>
      <c r="C2067" s="5" t="s">
        <v>26</v>
      </c>
      <c r="D2067" s="5" t="s">
        <v>27</v>
      </c>
      <c r="E2067" s="5" t="s">
        <v>203</v>
      </c>
      <c r="F2067" s="9">
        <v>32</v>
      </c>
      <c r="G2067" s="9">
        <v>335</v>
      </c>
      <c r="H2067" s="5" t="s">
        <v>21</v>
      </c>
      <c r="I2067" s="5" t="s">
        <v>5336</v>
      </c>
      <c r="J2067" s="12" t="str">
        <f>HYPERLINK("https://www.boe.es/gazeta/dias/1803/04/22/pdfs/GMD-1803-32.pdf#page=7","Abrir facsímil")</f>
        <v>Abrir facsímil</v>
      </c>
      <c r="K2067" s="15" t="s">
        <v>23</v>
      </c>
    </row>
    <row r="2068" spans="1:11" ht="42" customHeight="1">
      <c r="A2068" s="4" t="s">
        <v>5337</v>
      </c>
      <c r="B2068" s="5" t="s">
        <v>5338</v>
      </c>
      <c r="C2068" s="5" t="s">
        <v>80</v>
      </c>
      <c r="D2068" s="5" t="s">
        <v>81</v>
      </c>
      <c r="E2068" s="5" t="s">
        <v>207</v>
      </c>
      <c r="F2068" s="9">
        <v>27</v>
      </c>
      <c r="G2068" s="9">
        <v>296</v>
      </c>
      <c r="H2068" s="5" t="s">
        <v>21</v>
      </c>
      <c r="I2068" s="5" t="s">
        <v>5339</v>
      </c>
      <c r="J2068" s="12" t="str">
        <f>HYPERLINK("https://www.boe.es/gazeta/dias/1803/04/05/pdfs/GMD-1803-27.pdf#page=12","Abrir facsímil")</f>
        <v>Abrir facsímil</v>
      </c>
      <c r="K2068" s="15" t="s">
        <v>23</v>
      </c>
    </row>
    <row r="2069" spans="1:11" ht="42" customHeight="1">
      <c r="A2069" s="4" t="s">
        <v>5340</v>
      </c>
      <c r="B2069" s="5" t="s">
        <v>5340</v>
      </c>
      <c r="C2069" s="5" t="s">
        <v>40</v>
      </c>
      <c r="D2069" s="5" t="s">
        <v>41</v>
      </c>
      <c r="E2069" s="5" t="s">
        <v>752</v>
      </c>
      <c r="F2069" s="9">
        <v>30</v>
      </c>
      <c r="G2069" s="9">
        <v>315</v>
      </c>
      <c r="H2069" s="5" t="s">
        <v>21</v>
      </c>
      <c r="I2069" s="5" t="s">
        <v>5341</v>
      </c>
      <c r="J2069" s="12" t="str">
        <f>HYPERLINK("https://www.boe.es/gazeta/dias/1803/04/15/pdfs/GMD-1803-30.pdf#page=3","Abrir facsímil")</f>
        <v>Abrir facsímil</v>
      </c>
      <c r="K2069" s="15" t="s">
        <v>23</v>
      </c>
    </row>
    <row r="2070" spans="1:11" ht="42" customHeight="1">
      <c r="A2070" s="4" t="s">
        <v>5342</v>
      </c>
      <c r="B2070" s="5" t="s">
        <v>5343</v>
      </c>
      <c r="C2070" s="5" t="s">
        <v>51</v>
      </c>
      <c r="D2070" s="5" t="s">
        <v>52</v>
      </c>
      <c r="E2070" s="5" t="s">
        <v>373</v>
      </c>
      <c r="F2070" s="9">
        <v>77</v>
      </c>
      <c r="G2070" s="9">
        <v>834</v>
      </c>
      <c r="H2070" s="5" t="s">
        <v>21</v>
      </c>
      <c r="I2070" s="5" t="s">
        <v>5344</v>
      </c>
      <c r="J2070" s="12" t="str">
        <f>HYPERLINK("https://www.boe.es/gazeta/dias/1803/09/23/pdfs/GMD-1803-77.pdf#page=10","Abrir facsímil")</f>
        <v>Abrir facsímil</v>
      </c>
      <c r="K2070" s="15" t="s">
        <v>23</v>
      </c>
    </row>
    <row r="2071" spans="1:11" ht="42" customHeight="1">
      <c r="A2071" s="4" t="s">
        <v>5345</v>
      </c>
      <c r="B2071" s="5" t="s">
        <v>5346</v>
      </c>
      <c r="C2071" s="5" t="s">
        <v>26</v>
      </c>
      <c r="D2071" s="5" t="s">
        <v>27</v>
      </c>
      <c r="E2071" s="5" t="s">
        <v>361</v>
      </c>
      <c r="F2071" s="9">
        <v>62</v>
      </c>
      <c r="G2071" s="9">
        <v>676</v>
      </c>
      <c r="H2071" s="5" t="s">
        <v>21</v>
      </c>
      <c r="I2071" s="5" t="s">
        <v>5347</v>
      </c>
      <c r="J2071" s="12" t="str">
        <f>HYPERLINK("https://www.boe.es/gazeta/dias/1803/08/05/pdfs/GMD-1803-62.pdf#page=8","Abrir facsímil")</f>
        <v>Abrir facsímil</v>
      </c>
      <c r="K2071" s="15" t="s">
        <v>23</v>
      </c>
    </row>
    <row r="2072" spans="1:11" ht="42" customHeight="1">
      <c r="A2072" s="4" t="s">
        <v>5348</v>
      </c>
      <c r="B2072" s="5" t="s">
        <v>5349</v>
      </c>
      <c r="C2072" s="5" t="s">
        <v>51</v>
      </c>
      <c r="D2072" s="5" t="s">
        <v>52</v>
      </c>
      <c r="E2072" s="5" t="s">
        <v>109</v>
      </c>
      <c r="F2072" s="9">
        <v>102</v>
      </c>
      <c r="G2072" s="9">
        <v>1097</v>
      </c>
      <c r="H2072" s="5" t="s">
        <v>21</v>
      </c>
      <c r="I2072" s="5" t="s">
        <v>5350</v>
      </c>
      <c r="J2072" s="12" t="str">
        <f>HYPERLINK("https://www.boe.es/gazeta/dias/1803/12/20/pdfs/GMD-1803-102.pdf#page=9","Abrir facsímil")</f>
        <v>Abrir facsímil</v>
      </c>
      <c r="K2072" s="15" t="s">
        <v>23</v>
      </c>
    </row>
    <row r="2073" spans="1:11" ht="42" customHeight="1">
      <c r="A2073" s="4" t="s">
        <v>5351</v>
      </c>
      <c r="B2073" s="5" t="s">
        <v>5352</v>
      </c>
      <c r="C2073" s="5" t="s">
        <v>51</v>
      </c>
      <c r="D2073" s="5" t="s">
        <v>52</v>
      </c>
      <c r="E2073" s="5" t="s">
        <v>509</v>
      </c>
      <c r="F2073" s="9">
        <v>6</v>
      </c>
      <c r="G2073" s="9">
        <v>52</v>
      </c>
      <c r="H2073" s="5" t="s">
        <v>21</v>
      </c>
      <c r="I2073" s="5" t="s">
        <v>5353</v>
      </c>
      <c r="J2073" s="12" t="str">
        <f>HYPERLINK("https://www.boe.es/gazeta/dias/1803/01/21/pdfs/GMD-1803-6.pdf#page=4","Abrir facsímil")</f>
        <v>Abrir facsímil</v>
      </c>
      <c r="K2073" s="15" t="s">
        <v>23</v>
      </c>
    </row>
    <row r="2074" spans="1:11" ht="42" customHeight="1">
      <c r="A2074" s="4" t="s">
        <v>5351</v>
      </c>
      <c r="B2074" s="5" t="s">
        <v>5352</v>
      </c>
      <c r="C2074" s="5" t="s">
        <v>40</v>
      </c>
      <c r="D2074" s="5" t="s">
        <v>41</v>
      </c>
      <c r="E2074" s="5" t="s">
        <v>71</v>
      </c>
      <c r="F2074" s="9">
        <v>39</v>
      </c>
      <c r="G2074" s="9">
        <v>407</v>
      </c>
      <c r="H2074" s="5" t="s">
        <v>21</v>
      </c>
      <c r="I2074" s="5" t="s">
        <v>5354</v>
      </c>
      <c r="J2074" s="12" t="str">
        <f>HYPERLINK("https://www.boe.es/gazeta/dias/1803/05/17/pdfs/GMD-1803-39.pdf#page=3","Abrir facsímil")</f>
        <v>Abrir facsímil</v>
      </c>
      <c r="K2074" s="15" t="s">
        <v>23</v>
      </c>
    </row>
    <row r="2075" spans="1:11" ht="42" customHeight="1">
      <c r="A2075" s="4" t="s">
        <v>5351</v>
      </c>
      <c r="B2075" s="5" t="s">
        <v>5352</v>
      </c>
      <c r="C2075" s="5" t="s">
        <v>40</v>
      </c>
      <c r="D2075" s="5" t="s">
        <v>41</v>
      </c>
      <c r="E2075" s="5" t="s">
        <v>588</v>
      </c>
      <c r="F2075" s="9">
        <v>63</v>
      </c>
      <c r="G2075" s="9">
        <v>683</v>
      </c>
      <c r="H2075" s="5" t="s">
        <v>21</v>
      </c>
      <c r="I2075" s="5" t="s">
        <v>5355</v>
      </c>
      <c r="J2075" s="12" t="str">
        <f>HYPERLINK("https://www.boe.es/gazeta/dias/1803/08/09/pdfs/GMD-1803-63.pdf#page=3","Abrir facsímil")</f>
        <v>Abrir facsímil</v>
      </c>
      <c r="K2075" s="15" t="s">
        <v>23</v>
      </c>
    </row>
    <row r="2076" spans="1:11" ht="42" customHeight="1">
      <c r="A2076" s="4" t="s">
        <v>5356</v>
      </c>
      <c r="B2076" s="5" t="s">
        <v>5357</v>
      </c>
      <c r="C2076" s="5" t="s">
        <v>40</v>
      </c>
      <c r="D2076" s="5" t="s">
        <v>41</v>
      </c>
      <c r="E2076" s="5" t="s">
        <v>391</v>
      </c>
      <c r="F2076" s="9">
        <v>61</v>
      </c>
      <c r="G2076" s="9">
        <v>664</v>
      </c>
      <c r="H2076" s="5" t="s">
        <v>21</v>
      </c>
      <c r="I2076" s="5" t="s">
        <v>5358</v>
      </c>
      <c r="J2076" s="12" t="str">
        <f>HYPERLINK("https://www.boe.es/gazeta/dias/1803/08/02/pdfs/GMD-1803-61.pdf#page=4","Abrir facsímil")</f>
        <v>Abrir facsímil</v>
      </c>
      <c r="K2076" s="15" t="s">
        <v>23</v>
      </c>
    </row>
    <row r="2077" spans="1:11" ht="42" customHeight="1">
      <c r="A2077" s="4" t="s">
        <v>5356</v>
      </c>
      <c r="B2077" s="5" t="s">
        <v>5357</v>
      </c>
      <c r="C2077" s="5" t="s">
        <v>26</v>
      </c>
      <c r="D2077" s="5" t="s">
        <v>27</v>
      </c>
      <c r="E2077" s="5" t="s">
        <v>263</v>
      </c>
      <c r="F2077" s="9">
        <v>75</v>
      </c>
      <c r="G2077" s="9">
        <v>808</v>
      </c>
      <c r="H2077" s="5" t="s">
        <v>21</v>
      </c>
      <c r="I2077" s="5" t="s">
        <v>5359</v>
      </c>
      <c r="J2077" s="12" t="str">
        <f>HYPERLINK("https://www.boe.es/gazeta/dias/1803/09/16/pdfs/GMD-1803-75.pdf#page=4","Abrir facsímil")</f>
        <v>Abrir facsímil</v>
      </c>
      <c r="K2077" s="15" t="s">
        <v>23</v>
      </c>
    </row>
    <row r="2078" spans="1:11" ht="42" customHeight="1">
      <c r="A2078" s="4" t="s">
        <v>5360</v>
      </c>
      <c r="B2078" s="5" t="s">
        <v>5360</v>
      </c>
      <c r="C2078" s="5" t="s">
        <v>18</v>
      </c>
      <c r="D2078" s="5" t="s">
        <v>19</v>
      </c>
      <c r="E2078" s="5" t="s">
        <v>20</v>
      </c>
      <c r="F2078" s="9">
        <v>97</v>
      </c>
      <c r="G2078" s="9">
        <v>1044</v>
      </c>
      <c r="H2078" s="5" t="s">
        <v>21</v>
      </c>
      <c r="I2078" s="5" t="s">
        <v>5361</v>
      </c>
      <c r="J2078" s="12" t="str">
        <f>HYPERLINK("https://www.boe.es/gazeta/dias/1803/12/02/pdfs/GMD-1803-97.pdf#page=8","Abrir facsímil")</f>
        <v>Abrir facsímil</v>
      </c>
      <c r="K2078" s="15" t="s">
        <v>23</v>
      </c>
    </row>
    <row r="2079" spans="1:11" ht="42" customHeight="1">
      <c r="A2079" s="4" t="s">
        <v>5362</v>
      </c>
      <c r="B2079" s="5" t="s">
        <v>5363</v>
      </c>
      <c r="C2079" s="5" t="s">
        <v>26</v>
      </c>
      <c r="D2079" s="5" t="s">
        <v>27</v>
      </c>
      <c r="E2079" s="5" t="s">
        <v>336</v>
      </c>
      <c r="F2079" s="9">
        <v>105</v>
      </c>
      <c r="G2079" s="9">
        <v>1117</v>
      </c>
      <c r="H2079" s="5" t="s">
        <v>21</v>
      </c>
      <c r="I2079" s="5" t="s">
        <v>5364</v>
      </c>
      <c r="J2079" s="12" t="str">
        <f>HYPERLINK("https://www.boe.es/gazeta/dias/1803/12/30/pdfs/GMD-1803-105.pdf#page=1","Abrir facsímil")</f>
        <v>Abrir facsímil</v>
      </c>
      <c r="K2079" s="15" t="s">
        <v>23</v>
      </c>
    </row>
    <row r="2080" spans="1:11" ht="42" customHeight="1">
      <c r="A2080" s="4" t="s">
        <v>5365</v>
      </c>
      <c r="B2080" s="5" t="s">
        <v>5366</v>
      </c>
      <c r="C2080" s="5" t="s">
        <v>51</v>
      </c>
      <c r="D2080" s="5" t="s">
        <v>52</v>
      </c>
      <c r="E2080" s="5" t="s">
        <v>399</v>
      </c>
      <c r="F2080" s="9">
        <v>95</v>
      </c>
      <c r="G2080" s="9">
        <v>1020</v>
      </c>
      <c r="H2080" s="5" t="s">
        <v>21</v>
      </c>
      <c r="I2080" s="5" t="s">
        <v>5367</v>
      </c>
      <c r="J2080" s="12" t="str">
        <f>HYPERLINK("https://www.boe.es/gazeta/dias/1803/11/25/pdfs/GMD-1803-95.pdf#page=8","Abrir facsímil")</f>
        <v>Abrir facsímil</v>
      </c>
      <c r="K2080" s="15" t="s">
        <v>23</v>
      </c>
    </row>
    <row r="2081" spans="1:11" ht="42" customHeight="1">
      <c r="A2081" s="4" t="s">
        <v>5368</v>
      </c>
      <c r="B2081" s="5" t="s">
        <v>5369</v>
      </c>
      <c r="C2081" s="5" t="s">
        <v>18</v>
      </c>
      <c r="D2081" s="5" t="s">
        <v>19</v>
      </c>
      <c r="E2081" s="5" t="s">
        <v>160</v>
      </c>
      <c r="F2081" s="9">
        <v>81</v>
      </c>
      <c r="G2081" s="9">
        <v>872</v>
      </c>
      <c r="H2081" s="5" t="s">
        <v>21</v>
      </c>
      <c r="I2081" s="5" t="s">
        <v>5370</v>
      </c>
      <c r="J2081" s="12" t="str">
        <f>HYPERLINK("https://www.boe.es/gazeta/dias/1803/10/07/pdfs/GMD-1803-81.pdf#page=8","Abrir facsímil")</f>
        <v>Abrir facsímil</v>
      </c>
      <c r="K2081" s="15" t="s">
        <v>23</v>
      </c>
    </row>
    <row r="2082" spans="1:11" ht="42" customHeight="1">
      <c r="A2082" s="4" t="s">
        <v>5371</v>
      </c>
      <c r="B2082" s="5" t="s">
        <v>5372</v>
      </c>
      <c r="C2082" s="5" t="s">
        <v>26</v>
      </c>
      <c r="D2082" s="5" t="s">
        <v>27</v>
      </c>
      <c r="E2082" s="5" t="s">
        <v>174</v>
      </c>
      <c r="F2082" s="9">
        <v>21</v>
      </c>
      <c r="G2082" s="9">
        <v>223</v>
      </c>
      <c r="H2082" s="5" t="s">
        <v>21</v>
      </c>
      <c r="I2082" s="5" t="s">
        <v>5373</v>
      </c>
      <c r="J2082" s="12" t="str">
        <f>HYPERLINK("https://www.boe.es/gazeta/dias/1803/03/15/pdfs/GMD-1803-21.pdf#page=7","Abrir facsímil")</f>
        <v>Abrir facsímil</v>
      </c>
      <c r="K2082" s="15" t="s">
        <v>23</v>
      </c>
    </row>
    <row r="2083" spans="1:11" ht="42" customHeight="1">
      <c r="A2083" s="4" t="s">
        <v>5374</v>
      </c>
      <c r="B2083" s="5" t="s">
        <v>5374</v>
      </c>
      <c r="C2083" s="5" t="s">
        <v>51</v>
      </c>
      <c r="D2083" s="5" t="s">
        <v>52</v>
      </c>
      <c r="E2083" s="5" t="s">
        <v>1279</v>
      </c>
      <c r="F2083" s="9">
        <v>3</v>
      </c>
      <c r="G2083" s="9">
        <v>27</v>
      </c>
      <c r="H2083" s="5" t="s">
        <v>21</v>
      </c>
      <c r="I2083" s="5" t="s">
        <v>5375</v>
      </c>
      <c r="J2083" s="12" t="str">
        <f>HYPERLINK("https://www.boe.es/gazeta/dias/1803/01/11/pdfs/GMD-1803-3.pdf#page=7","Abrir facsímil")</f>
        <v>Abrir facsímil</v>
      </c>
      <c r="K2083" s="15" t="s">
        <v>23</v>
      </c>
    </row>
    <row r="2084" spans="1:11" ht="42" customHeight="1">
      <c r="A2084" s="4" t="s">
        <v>5376</v>
      </c>
      <c r="B2084" s="5" t="s">
        <v>5377</v>
      </c>
      <c r="C2084" s="5" t="s">
        <v>26</v>
      </c>
      <c r="D2084" s="5" t="s">
        <v>27</v>
      </c>
      <c r="E2084" s="5" t="s">
        <v>328</v>
      </c>
      <c r="F2084" s="9">
        <v>54</v>
      </c>
      <c r="G2084" s="9">
        <v>590</v>
      </c>
      <c r="H2084" s="5" t="s">
        <v>21</v>
      </c>
      <c r="I2084" s="5" t="s">
        <v>5378</v>
      </c>
      <c r="J2084" s="12" t="str">
        <f>HYPERLINK("https://www.boe.es/gazeta/dias/1803/07/08/pdfs/GMD-1803-54.pdf#page=10","Abrir facsímil")</f>
        <v>Abrir facsímil</v>
      </c>
      <c r="K2084" s="15" t="s">
        <v>23</v>
      </c>
    </row>
    <row r="2085" spans="1:11" ht="42" customHeight="1">
      <c r="A2085" s="4" t="s">
        <v>5379</v>
      </c>
      <c r="B2085" s="5" t="s">
        <v>5380</v>
      </c>
      <c r="C2085" s="5" t="s">
        <v>51</v>
      </c>
      <c r="D2085" s="5" t="s">
        <v>52</v>
      </c>
      <c r="E2085" s="5" t="s">
        <v>20</v>
      </c>
      <c r="F2085" s="9">
        <v>97</v>
      </c>
      <c r="G2085" s="9">
        <v>1041</v>
      </c>
      <c r="H2085" s="5" t="s">
        <v>21</v>
      </c>
      <c r="I2085" s="5" t="s">
        <v>5381</v>
      </c>
      <c r="J2085" s="12" t="str">
        <f>HYPERLINK("https://www.boe.es/gazeta/dias/1803/12/02/pdfs/GMD-1803-97.pdf#page=5","Abrir facsímil")</f>
        <v>Abrir facsímil</v>
      </c>
      <c r="K2085" s="15" t="s">
        <v>23</v>
      </c>
    </row>
    <row r="2086" spans="1:11" ht="42" customHeight="1">
      <c r="A2086" s="4" t="s">
        <v>5382</v>
      </c>
      <c r="B2086" s="5" t="s">
        <v>5383</v>
      </c>
      <c r="C2086" s="5" t="s">
        <v>26</v>
      </c>
      <c r="D2086" s="5" t="s">
        <v>27</v>
      </c>
      <c r="E2086" s="5" t="s">
        <v>61</v>
      </c>
      <c r="F2086" s="9">
        <v>67</v>
      </c>
      <c r="G2086" s="9">
        <v>730</v>
      </c>
      <c r="H2086" s="5" t="s">
        <v>21</v>
      </c>
      <c r="I2086" s="5" t="s">
        <v>5384</v>
      </c>
      <c r="J2086" s="12" t="str">
        <f>HYPERLINK("https://www.boe.es/gazeta/dias/1803/08/23/pdfs/GMD-1803-67.pdf#page=10","Abrir facsímil")</f>
        <v>Abrir facsímil</v>
      </c>
      <c r="K2086" s="15" t="s">
        <v>23</v>
      </c>
    </row>
    <row r="2087" spans="1:11" ht="42" customHeight="1">
      <c r="A2087" s="4" t="s">
        <v>5385</v>
      </c>
      <c r="B2087" s="5" t="s">
        <v>5386</v>
      </c>
      <c r="C2087" s="5" t="s">
        <v>26</v>
      </c>
      <c r="D2087" s="5" t="s">
        <v>27</v>
      </c>
      <c r="E2087" s="5" t="s">
        <v>88</v>
      </c>
      <c r="F2087" s="9">
        <v>18</v>
      </c>
      <c r="G2087" s="9">
        <v>188</v>
      </c>
      <c r="H2087" s="5" t="s">
        <v>21</v>
      </c>
      <c r="I2087" s="5" t="s">
        <v>5387</v>
      </c>
      <c r="J2087" s="12" t="str">
        <f>HYPERLINK("https://www.boe.es/gazeta/dias/1803/03/04/pdfs/GMD-1803-18.pdf#page=8","Abrir facsímil")</f>
        <v>Abrir facsímil</v>
      </c>
      <c r="K2087" s="15" t="s">
        <v>23</v>
      </c>
    </row>
    <row r="2088" spans="1:11" ht="42" customHeight="1">
      <c r="A2088" s="4" t="s">
        <v>5388</v>
      </c>
      <c r="B2088" s="5" t="s">
        <v>5389</v>
      </c>
      <c r="C2088" s="5" t="s">
        <v>40</v>
      </c>
      <c r="D2088" s="5" t="s">
        <v>41</v>
      </c>
      <c r="E2088" s="5" t="s">
        <v>191</v>
      </c>
      <c r="F2088" s="9">
        <v>34</v>
      </c>
      <c r="G2088" s="9">
        <v>358</v>
      </c>
      <c r="H2088" s="5" t="s">
        <v>21</v>
      </c>
      <c r="I2088" s="5" t="s">
        <v>5390</v>
      </c>
      <c r="J2088" s="12" t="str">
        <f>HYPERLINK("https://www.boe.es/gazeta/dias/1803/04/29/pdfs/GMD-1803-34.pdf#page=6","Abrir facsímil")</f>
        <v>Abrir facsímil</v>
      </c>
      <c r="K2088" s="15" t="s">
        <v>23</v>
      </c>
    </row>
    <row r="2089" spans="1:11" ht="42" customHeight="1">
      <c r="A2089" s="4" t="s">
        <v>5391</v>
      </c>
      <c r="B2089" s="5" t="s">
        <v>5392</v>
      </c>
      <c r="C2089" s="5" t="s">
        <v>26</v>
      </c>
      <c r="D2089" s="5" t="s">
        <v>27</v>
      </c>
      <c r="E2089" s="5" t="s">
        <v>191</v>
      </c>
      <c r="F2089" s="9">
        <v>34</v>
      </c>
      <c r="G2089" s="9">
        <v>358</v>
      </c>
      <c r="H2089" s="5" t="s">
        <v>21</v>
      </c>
      <c r="I2089" s="5" t="s">
        <v>5393</v>
      </c>
      <c r="J2089" s="12" t="str">
        <f>HYPERLINK("https://www.boe.es/gazeta/dias/1803/04/29/pdfs/GMD-1803-34.pdf#page=6","Abrir facsímil")</f>
        <v>Abrir facsímil</v>
      </c>
      <c r="K2089" s="15" t="s">
        <v>23</v>
      </c>
    </row>
    <row r="2090" spans="1:11" ht="42" customHeight="1">
      <c r="A2090" s="4" t="s">
        <v>5394</v>
      </c>
      <c r="B2090" s="5" t="s">
        <v>5395</v>
      </c>
      <c r="C2090" s="5" t="s">
        <v>26</v>
      </c>
      <c r="D2090" s="5" t="s">
        <v>27</v>
      </c>
      <c r="E2090" s="5" t="s">
        <v>361</v>
      </c>
      <c r="F2090" s="9">
        <v>62</v>
      </c>
      <c r="G2090" s="9">
        <v>676</v>
      </c>
      <c r="H2090" s="5" t="s">
        <v>21</v>
      </c>
      <c r="I2090" s="5" t="s">
        <v>5396</v>
      </c>
      <c r="J2090" s="12" t="str">
        <f>HYPERLINK("https://www.boe.es/gazeta/dias/1803/08/05/pdfs/GMD-1803-62.pdf#page=8","Abrir facsímil")</f>
        <v>Abrir facsímil</v>
      </c>
      <c r="K2090" s="15" t="s">
        <v>23</v>
      </c>
    </row>
    <row r="2091" spans="1:11" ht="42" customHeight="1">
      <c r="A2091" s="4" t="s">
        <v>5397</v>
      </c>
      <c r="B2091" s="5" t="s">
        <v>5398</v>
      </c>
      <c r="C2091" s="5" t="s">
        <v>40</v>
      </c>
      <c r="D2091" s="5" t="s">
        <v>41</v>
      </c>
      <c r="E2091" s="5" t="s">
        <v>726</v>
      </c>
      <c r="F2091" s="9">
        <v>78</v>
      </c>
      <c r="G2091" s="9">
        <v>841</v>
      </c>
      <c r="H2091" s="5" t="s">
        <v>21</v>
      </c>
      <c r="I2091" s="5" t="s">
        <v>5399</v>
      </c>
      <c r="J2091" s="12" t="str">
        <f>HYPERLINK("https://www.boe.es/gazeta/dias/1803/09/27/pdfs/GMD-1803-78.pdf#page=5","Abrir facsímil")</f>
        <v>Abrir facsímil</v>
      </c>
      <c r="K2091" s="15" t="s">
        <v>23</v>
      </c>
    </row>
    <row r="2092" spans="1:11" ht="42" customHeight="1">
      <c r="A2092" s="4" t="s">
        <v>5400</v>
      </c>
      <c r="B2092" s="5" t="s">
        <v>5401</v>
      </c>
      <c r="C2092" s="5" t="s">
        <v>26</v>
      </c>
      <c r="D2092" s="5" t="s">
        <v>27</v>
      </c>
      <c r="E2092" s="5" t="s">
        <v>501</v>
      </c>
      <c r="F2092" s="9">
        <v>22</v>
      </c>
      <c r="G2092" s="9">
        <v>236</v>
      </c>
      <c r="H2092" s="5" t="s">
        <v>21</v>
      </c>
      <c r="I2092" s="5" t="s">
        <v>5402</v>
      </c>
      <c r="J2092" s="12" t="str">
        <f>HYPERLINK("https://www.boe.es/gazeta/dias/1803/03/18/pdfs/GMD-1803-22.pdf#page=8","Abrir facsímil")</f>
        <v>Abrir facsímil</v>
      </c>
      <c r="K2092" s="15" t="s">
        <v>23</v>
      </c>
    </row>
    <row r="2093" spans="1:11" ht="42" customHeight="1">
      <c r="A2093" s="4" t="s">
        <v>5403</v>
      </c>
      <c r="B2093" s="5" t="s">
        <v>5404</v>
      </c>
      <c r="C2093" s="5" t="s">
        <v>51</v>
      </c>
      <c r="D2093" s="5" t="s">
        <v>52</v>
      </c>
      <c r="E2093" s="5" t="s">
        <v>523</v>
      </c>
      <c r="F2093" s="9">
        <v>101</v>
      </c>
      <c r="G2093" s="9">
        <v>1085</v>
      </c>
      <c r="H2093" s="5" t="s">
        <v>21</v>
      </c>
      <c r="I2093" s="5" t="s">
        <v>5405</v>
      </c>
      <c r="J2093" s="12" t="str">
        <f>HYPERLINK("https://www.boe.es/gazeta/dias/1803/12/16/pdfs/GMD-1803-101.pdf#page=9","Abrir facsímil")</f>
        <v>Abrir facsímil</v>
      </c>
      <c r="K2093" s="15" t="s">
        <v>23</v>
      </c>
    </row>
    <row r="2094" spans="1:11" ht="42" customHeight="1">
      <c r="A2094" s="4" t="s">
        <v>5406</v>
      </c>
      <c r="B2094" s="5" t="s">
        <v>5407</v>
      </c>
      <c r="C2094" s="5" t="s">
        <v>80</v>
      </c>
      <c r="D2094" s="5" t="s">
        <v>81</v>
      </c>
      <c r="E2094" s="5" t="s">
        <v>138</v>
      </c>
      <c r="F2094" s="9">
        <v>68</v>
      </c>
      <c r="G2094" s="9">
        <v>744</v>
      </c>
      <c r="H2094" s="5" t="s">
        <v>21</v>
      </c>
      <c r="I2094" s="5" t="s">
        <v>5408</v>
      </c>
      <c r="J2094" s="12" t="str">
        <f>HYPERLINK("https://www.boe.es/gazeta/dias/1803/08/26/pdfs/GMD-1803-68.pdf#page=12","Abrir facsímil")</f>
        <v>Abrir facsímil</v>
      </c>
      <c r="K2094" s="15" t="s">
        <v>23</v>
      </c>
    </row>
    <row r="2095" spans="1:11" ht="42" customHeight="1">
      <c r="A2095" s="4" t="s">
        <v>5409</v>
      </c>
      <c r="B2095" s="5" t="s">
        <v>5410</v>
      </c>
      <c r="C2095" s="5" t="s">
        <v>51</v>
      </c>
      <c r="D2095" s="5" t="s">
        <v>52</v>
      </c>
      <c r="E2095" s="5" t="s">
        <v>1279</v>
      </c>
      <c r="F2095" s="9">
        <v>3</v>
      </c>
      <c r="G2095" s="9">
        <v>27</v>
      </c>
      <c r="H2095" s="5" t="s">
        <v>21</v>
      </c>
      <c r="I2095" s="5" t="s">
        <v>5411</v>
      </c>
      <c r="J2095" s="12" t="str">
        <f>HYPERLINK("https://www.boe.es/gazeta/dias/1803/01/11/pdfs/GMD-1803-3.pdf#page=7","Abrir facsímil")</f>
        <v>Abrir facsímil</v>
      </c>
      <c r="K2095" s="15" t="s">
        <v>23</v>
      </c>
    </row>
    <row r="2096" spans="1:11" ht="42" customHeight="1">
      <c r="A2096" s="4" t="s">
        <v>5412</v>
      </c>
      <c r="B2096" s="5" t="s">
        <v>5412</v>
      </c>
      <c r="C2096" s="5" t="s">
        <v>40</v>
      </c>
      <c r="D2096" s="5" t="s">
        <v>41</v>
      </c>
      <c r="E2096" s="5" t="s">
        <v>42</v>
      </c>
      <c r="F2096" s="9">
        <v>10</v>
      </c>
      <c r="G2096" s="9">
        <v>101</v>
      </c>
      <c r="H2096" s="5" t="s">
        <v>21</v>
      </c>
      <c r="I2096" s="5" t="s">
        <v>5413</v>
      </c>
      <c r="J2096" s="12" t="str">
        <f>HYPERLINK("https://www.boe.es/gazeta/dias/1803/02/04/pdfs/GMD-1803-10.pdf#page=5","Abrir facsímil")</f>
        <v>Abrir facsímil</v>
      </c>
      <c r="K2096" s="15" t="s">
        <v>23</v>
      </c>
    </row>
    <row r="2097" spans="1:11" ht="42" customHeight="1">
      <c r="A2097" s="4" t="s">
        <v>5414</v>
      </c>
      <c r="B2097" s="5" t="s">
        <v>5414</v>
      </c>
      <c r="C2097" s="5" t="s">
        <v>40</v>
      </c>
      <c r="D2097" s="5" t="s">
        <v>41</v>
      </c>
      <c r="E2097" s="5" t="s">
        <v>555</v>
      </c>
      <c r="F2097" s="9">
        <v>83</v>
      </c>
      <c r="G2097" s="9">
        <v>889</v>
      </c>
      <c r="H2097" s="5" t="s">
        <v>21</v>
      </c>
      <c r="I2097" s="5" t="s">
        <v>5415</v>
      </c>
      <c r="J2097" s="12" t="str">
        <f>HYPERLINK("https://www.boe.es/gazeta/dias/1803/10/14/pdfs/GMD-1803-83.pdf#page=1","Abrir facsímil")</f>
        <v>Abrir facsímil</v>
      </c>
      <c r="K2097" s="15" t="s">
        <v>23</v>
      </c>
    </row>
    <row r="2098" spans="1:11" ht="42" customHeight="1">
      <c r="A2098" s="4" t="s">
        <v>5416</v>
      </c>
      <c r="B2098" s="5" t="s">
        <v>5416</v>
      </c>
      <c r="C2098" s="5" t="s">
        <v>51</v>
      </c>
      <c r="D2098" s="5" t="s">
        <v>52</v>
      </c>
      <c r="E2098" s="5" t="s">
        <v>160</v>
      </c>
      <c r="F2098" s="9">
        <v>81</v>
      </c>
      <c r="G2098" s="9">
        <v>870</v>
      </c>
      <c r="H2098" s="5" t="s">
        <v>21</v>
      </c>
      <c r="I2098" s="5" t="s">
        <v>5417</v>
      </c>
      <c r="J2098" s="12" t="str">
        <f>HYPERLINK("https://www.boe.es/gazeta/dias/1803/10/07/pdfs/GMD-1803-81.pdf#page=6","Abrir facsímil")</f>
        <v>Abrir facsímil</v>
      </c>
      <c r="K2098" s="15" t="s">
        <v>23</v>
      </c>
    </row>
    <row r="2099" spans="1:11" ht="42" customHeight="1">
      <c r="A2099" s="4" t="s">
        <v>5418</v>
      </c>
      <c r="B2099" s="5" t="s">
        <v>5418</v>
      </c>
      <c r="C2099" s="5" t="s">
        <v>40</v>
      </c>
      <c r="D2099" s="5" t="s">
        <v>41</v>
      </c>
      <c r="E2099" s="5" t="s">
        <v>321</v>
      </c>
      <c r="F2099" s="9">
        <v>94</v>
      </c>
      <c r="G2099" s="9">
        <v>1007</v>
      </c>
      <c r="H2099" s="5" t="s">
        <v>21</v>
      </c>
      <c r="I2099" s="5" t="s">
        <v>5419</v>
      </c>
      <c r="J2099" s="12" t="str">
        <f>HYPERLINK("https://www.boe.es/gazeta/dias/1803/11/22/pdfs/GMD-1803-94.pdf#page=7","Abrir facsímil")</f>
        <v>Abrir facsímil</v>
      </c>
      <c r="K2099" s="15" t="s">
        <v>23</v>
      </c>
    </row>
    <row r="2100" spans="1:11" ht="42" customHeight="1">
      <c r="A2100" s="4" t="s">
        <v>5420</v>
      </c>
      <c r="B2100" s="5" t="s">
        <v>5420</v>
      </c>
      <c r="C2100" s="5" t="s">
        <v>51</v>
      </c>
      <c r="D2100" s="5" t="s">
        <v>52</v>
      </c>
      <c r="E2100" s="5" t="s">
        <v>85</v>
      </c>
      <c r="F2100" s="9">
        <v>49</v>
      </c>
      <c r="G2100" s="9">
        <v>520</v>
      </c>
      <c r="H2100" s="5" t="s">
        <v>21</v>
      </c>
      <c r="I2100" s="5" t="s">
        <v>5421</v>
      </c>
      <c r="J2100" s="12" t="str">
        <f>HYPERLINK("https://www.boe.es/gazeta/dias/1803/06/21/pdfs/GMD-1803-49.pdf#page=8","Abrir facsímil")</f>
        <v>Abrir facsímil</v>
      </c>
      <c r="K2100" s="15" t="s">
        <v>23</v>
      </c>
    </row>
    <row r="2101" spans="1:11" ht="42" customHeight="1">
      <c r="A2101" s="4" t="s">
        <v>5420</v>
      </c>
      <c r="B2101" s="5" t="s">
        <v>5420</v>
      </c>
      <c r="C2101" s="5" t="s">
        <v>40</v>
      </c>
      <c r="D2101" s="5" t="s">
        <v>41</v>
      </c>
      <c r="E2101" s="5" t="s">
        <v>555</v>
      </c>
      <c r="F2101" s="9">
        <v>83</v>
      </c>
      <c r="G2101" s="9">
        <v>889</v>
      </c>
      <c r="H2101" s="5" t="s">
        <v>21</v>
      </c>
      <c r="I2101" s="5" t="s">
        <v>5415</v>
      </c>
      <c r="J2101" s="12" t="str">
        <f>HYPERLINK("https://www.boe.es/gazeta/dias/1803/10/14/pdfs/GMD-1803-83.pdf#page=1","Abrir facsímil")</f>
        <v>Abrir facsímil</v>
      </c>
      <c r="K2101" s="15" t="s">
        <v>23</v>
      </c>
    </row>
    <row r="2102" spans="1:11" ht="42" customHeight="1">
      <c r="A2102" s="4" t="s">
        <v>5422</v>
      </c>
      <c r="B2102" s="5" t="s">
        <v>5422</v>
      </c>
      <c r="C2102" s="5" t="s">
        <v>40</v>
      </c>
      <c r="D2102" s="5" t="s">
        <v>41</v>
      </c>
      <c r="E2102" s="5" t="s">
        <v>160</v>
      </c>
      <c r="F2102" s="9">
        <v>81</v>
      </c>
      <c r="G2102" s="9">
        <v>866</v>
      </c>
      <c r="H2102" s="5" t="s">
        <v>21</v>
      </c>
      <c r="I2102" s="5" t="s">
        <v>5423</v>
      </c>
      <c r="J2102" s="12" t="str">
        <f>HYPERLINK("https://www.boe.es/gazeta/dias/1803/10/07/pdfs/GMD-1803-81.pdf#page=2","Abrir facsímil")</f>
        <v>Abrir facsímil</v>
      </c>
      <c r="K2102" s="15" t="s">
        <v>23</v>
      </c>
    </row>
    <row r="2103" spans="1:11" ht="42" customHeight="1">
      <c r="A2103" s="4" t="s">
        <v>5424</v>
      </c>
      <c r="B2103" s="5" t="s">
        <v>5424</v>
      </c>
      <c r="C2103" s="5" t="s">
        <v>40</v>
      </c>
      <c r="D2103" s="5" t="s">
        <v>41</v>
      </c>
      <c r="E2103" s="5" t="s">
        <v>321</v>
      </c>
      <c r="F2103" s="9">
        <v>94</v>
      </c>
      <c r="G2103" s="9">
        <v>1007</v>
      </c>
      <c r="H2103" s="5" t="s">
        <v>21</v>
      </c>
      <c r="I2103" s="5" t="s">
        <v>5419</v>
      </c>
      <c r="J2103" s="12" t="str">
        <f>HYPERLINK("https://www.boe.es/gazeta/dias/1803/11/22/pdfs/GMD-1803-94.pdf#page=7","Abrir facsímil")</f>
        <v>Abrir facsímil</v>
      </c>
      <c r="K2103" s="15" t="s">
        <v>23</v>
      </c>
    </row>
    <row r="2104" spans="1:11" ht="42" customHeight="1">
      <c r="A2104" s="4" t="s">
        <v>5425</v>
      </c>
      <c r="B2104" s="5" t="s">
        <v>5425</v>
      </c>
      <c r="C2104" s="5" t="s">
        <v>26</v>
      </c>
      <c r="D2104" s="5" t="s">
        <v>27</v>
      </c>
      <c r="E2104" s="5" t="s">
        <v>609</v>
      </c>
      <c r="F2104" s="9">
        <v>57</v>
      </c>
      <c r="G2104" s="9">
        <v>618</v>
      </c>
      <c r="H2104" s="5" t="s">
        <v>21</v>
      </c>
      <c r="I2104" s="5" t="s">
        <v>5426</v>
      </c>
      <c r="J2104" s="12" t="str">
        <f>HYPERLINK("https://www.boe.es/gazeta/dias/1803/07/19/pdfs/GMD-1803-57.pdf#page=6","Abrir facsímil")</f>
        <v>Abrir facsímil</v>
      </c>
      <c r="K2104" s="15" t="s">
        <v>23</v>
      </c>
    </row>
    <row r="2105" spans="1:11" ht="42" customHeight="1">
      <c r="A2105" s="4" t="s">
        <v>5427</v>
      </c>
      <c r="B2105" s="5" t="s">
        <v>5427</v>
      </c>
      <c r="C2105" s="5" t="s">
        <v>26</v>
      </c>
      <c r="D2105" s="5" t="s">
        <v>27</v>
      </c>
      <c r="E2105" s="5" t="s">
        <v>501</v>
      </c>
      <c r="F2105" s="9">
        <v>22</v>
      </c>
      <c r="G2105" s="9">
        <v>235</v>
      </c>
      <c r="H2105" s="5" t="s">
        <v>21</v>
      </c>
      <c r="I2105" s="5" t="s">
        <v>5428</v>
      </c>
      <c r="J2105" s="12" t="str">
        <f>HYPERLINK("https://www.boe.es/gazeta/dias/1803/03/18/pdfs/GMD-1803-22.pdf#page=7","Abrir facsímil")</f>
        <v>Abrir facsímil</v>
      </c>
      <c r="K2105" s="15" t="s">
        <v>23</v>
      </c>
    </row>
    <row r="2106" spans="1:11" ht="42" customHeight="1">
      <c r="A2106" s="4" t="s">
        <v>5429</v>
      </c>
      <c r="B2106" s="5" t="s">
        <v>5429</v>
      </c>
      <c r="C2106" s="5" t="s">
        <v>51</v>
      </c>
      <c r="D2106" s="5" t="s">
        <v>52</v>
      </c>
      <c r="E2106" s="5" t="s">
        <v>64</v>
      </c>
      <c r="F2106" s="9">
        <v>65</v>
      </c>
      <c r="G2106" s="9">
        <v>712</v>
      </c>
      <c r="H2106" s="5" t="s">
        <v>21</v>
      </c>
      <c r="I2106" s="5" t="s">
        <v>5430</v>
      </c>
      <c r="J2106" s="12" t="str">
        <f>HYPERLINK("https://www.boe.es/gazeta/dias/1803/08/16/pdfs/GMD-1803-65.pdf#page=12","Abrir facsímil")</f>
        <v>Abrir facsímil</v>
      </c>
      <c r="K2106" s="15" t="s">
        <v>23</v>
      </c>
    </row>
    <row r="2107" spans="1:11" ht="42" customHeight="1">
      <c r="A2107" s="4" t="s">
        <v>5431</v>
      </c>
      <c r="B2107" s="5" t="s">
        <v>5432</v>
      </c>
      <c r="C2107" s="5" t="s">
        <v>40</v>
      </c>
      <c r="D2107" s="5" t="s">
        <v>41</v>
      </c>
      <c r="E2107" s="5" t="s">
        <v>75</v>
      </c>
      <c r="F2107" s="9">
        <v>56</v>
      </c>
      <c r="G2107" s="9">
        <v>605</v>
      </c>
      <c r="H2107" s="5" t="s">
        <v>21</v>
      </c>
      <c r="I2107" s="5" t="s">
        <v>5433</v>
      </c>
      <c r="J2107" s="12" t="str">
        <f>HYPERLINK("https://www.boe.es/gazeta/dias/1803/07/15/pdfs/GMD-1803-56.pdf#page=1","Abrir facsímil")</f>
        <v>Abrir facsímil</v>
      </c>
      <c r="K2107" s="15" t="s">
        <v>23</v>
      </c>
    </row>
    <row r="2108" spans="1:11" ht="42" customHeight="1">
      <c r="A2108" s="4" t="s">
        <v>5434</v>
      </c>
      <c r="B2108" s="5" t="s">
        <v>5435</v>
      </c>
      <c r="C2108" s="5" t="s">
        <v>80</v>
      </c>
      <c r="D2108" s="5" t="s">
        <v>81</v>
      </c>
      <c r="E2108" s="5" t="s">
        <v>231</v>
      </c>
      <c r="F2108" s="9">
        <v>26</v>
      </c>
      <c r="G2108" s="9">
        <v>284</v>
      </c>
      <c r="H2108" s="5" t="s">
        <v>21</v>
      </c>
      <c r="I2108" s="5" t="s">
        <v>5436</v>
      </c>
      <c r="J2108" s="12" t="str">
        <f>HYPERLINK("https://www.boe.es/gazeta/dias/1803/04/01/pdfs/GMD-1803-26.pdf#page=12","Abrir facsímil")</f>
        <v>Abrir facsímil</v>
      </c>
      <c r="K2108" s="15" t="s">
        <v>23</v>
      </c>
    </row>
    <row r="2109" spans="1:11" ht="42" customHeight="1">
      <c r="A2109" s="4" t="s">
        <v>5437</v>
      </c>
      <c r="B2109" s="5" t="s">
        <v>5438</v>
      </c>
      <c r="C2109" s="5" t="s">
        <v>26</v>
      </c>
      <c r="D2109" s="5" t="s">
        <v>27</v>
      </c>
      <c r="E2109" s="5" t="s">
        <v>571</v>
      </c>
      <c r="F2109" s="9">
        <v>103</v>
      </c>
      <c r="G2109" s="9">
        <v>1105</v>
      </c>
      <c r="H2109" s="5" t="s">
        <v>21</v>
      </c>
      <c r="I2109" s="5" t="s">
        <v>5439</v>
      </c>
      <c r="J2109" s="12" t="str">
        <f>HYPERLINK("https://www.boe.es/gazeta/dias/1803/12/23/pdfs/GMD-1803-103.pdf#page=5","Abrir facsímil")</f>
        <v>Abrir facsímil</v>
      </c>
      <c r="K2109" s="15" t="s">
        <v>23</v>
      </c>
    </row>
    <row r="2110" spans="1:11" ht="42" customHeight="1">
      <c r="A2110" s="4" t="s">
        <v>5440</v>
      </c>
      <c r="B2110" s="5" t="s">
        <v>5441</v>
      </c>
      <c r="C2110" s="5" t="s">
        <v>18</v>
      </c>
      <c r="D2110" s="5" t="s">
        <v>19</v>
      </c>
      <c r="E2110" s="5" t="s">
        <v>630</v>
      </c>
      <c r="F2110" s="9">
        <v>85</v>
      </c>
      <c r="G2110" s="9">
        <v>919</v>
      </c>
      <c r="H2110" s="5" t="s">
        <v>21</v>
      </c>
      <c r="I2110" s="5" t="s">
        <v>5442</v>
      </c>
      <c r="J2110" s="12" t="str">
        <f>HYPERLINK("https://www.boe.es/gazeta/dias/1803/10/21/pdfs/GMD-1803-85.pdf#page=11","Abrir facsímil")</f>
        <v>Abrir facsímil</v>
      </c>
      <c r="K2110" s="15" t="s">
        <v>23</v>
      </c>
    </row>
    <row r="2111" spans="1:11" ht="42" customHeight="1">
      <c r="A2111" s="4" t="s">
        <v>5443</v>
      </c>
      <c r="B2111" s="5" t="s">
        <v>5444</v>
      </c>
      <c r="C2111" s="5" t="s">
        <v>40</v>
      </c>
      <c r="D2111" s="5" t="s">
        <v>41</v>
      </c>
      <c r="E2111" s="5" t="s">
        <v>164</v>
      </c>
      <c r="F2111" s="9">
        <v>84</v>
      </c>
      <c r="G2111" s="9">
        <v>899</v>
      </c>
      <c r="H2111" s="5" t="s">
        <v>21</v>
      </c>
      <c r="I2111" s="5" t="s">
        <v>5445</v>
      </c>
      <c r="J2111" s="12" t="str">
        <f>HYPERLINK("https://www.boe.es/gazeta/dias/1803/10/18/pdfs/GMD-1803-84.pdf#page=3","Abrir facsímil")</f>
        <v>Abrir facsímil</v>
      </c>
      <c r="K2111" s="15" t="s">
        <v>23</v>
      </c>
    </row>
    <row r="2112" spans="1:11" ht="42" customHeight="1">
      <c r="A2112" s="4" t="s">
        <v>5446</v>
      </c>
      <c r="B2112" s="5" t="s">
        <v>5446</v>
      </c>
      <c r="C2112" s="5" t="s">
        <v>26</v>
      </c>
      <c r="D2112" s="5" t="s">
        <v>27</v>
      </c>
      <c r="E2112" s="5" t="s">
        <v>189</v>
      </c>
      <c r="F2112" s="9">
        <v>9</v>
      </c>
      <c r="G2112" s="9">
        <v>95</v>
      </c>
      <c r="H2112" s="5" t="s">
        <v>21</v>
      </c>
      <c r="I2112" s="5" t="s">
        <v>5447</v>
      </c>
      <c r="J2112" s="12" t="str">
        <f>HYPERLINK("https://www.boe.es/gazeta/dias/1803/02/01/pdfs/GMD-1803-9.pdf#page=11","Abrir facsímil")</f>
        <v>Abrir facsímil</v>
      </c>
      <c r="K2112" s="15" t="s">
        <v>23</v>
      </c>
    </row>
    <row r="2113" spans="1:11" ht="42" customHeight="1">
      <c r="A2113" s="4" t="s">
        <v>5448</v>
      </c>
      <c r="B2113" s="5" t="s">
        <v>5448</v>
      </c>
      <c r="C2113" s="5" t="s">
        <v>18</v>
      </c>
      <c r="D2113" s="5" t="s">
        <v>19</v>
      </c>
      <c r="E2113" s="5" t="s">
        <v>403</v>
      </c>
      <c r="F2113" s="9">
        <v>91</v>
      </c>
      <c r="G2113" s="9">
        <v>976</v>
      </c>
      <c r="H2113" s="5" t="s">
        <v>21</v>
      </c>
      <c r="I2113" s="5" t="s">
        <v>5449</v>
      </c>
      <c r="J2113" s="12" t="str">
        <f>HYPERLINK("https://www.boe.es/gazeta/dias/1803/11/11/pdfs/GMD-1803-91.pdf#page=8","Abrir facsímil")</f>
        <v>Abrir facsímil</v>
      </c>
      <c r="K2113" s="15" t="s">
        <v>23</v>
      </c>
    </row>
    <row r="2114" spans="1:11" ht="42" customHeight="1">
      <c r="A2114" s="4" t="s">
        <v>5450</v>
      </c>
      <c r="B2114" s="5" t="s">
        <v>5450</v>
      </c>
      <c r="C2114" s="5" t="s">
        <v>26</v>
      </c>
      <c r="D2114" s="5" t="s">
        <v>27</v>
      </c>
      <c r="E2114" s="5" t="s">
        <v>321</v>
      </c>
      <c r="F2114" s="9">
        <v>94</v>
      </c>
      <c r="G2114" s="9">
        <v>1011</v>
      </c>
      <c r="H2114" s="5" t="s">
        <v>21</v>
      </c>
      <c r="I2114" s="5" t="s">
        <v>5451</v>
      </c>
      <c r="J2114" s="12" t="str">
        <f>HYPERLINK("https://www.boe.es/gazeta/dias/1803/11/22/pdfs/GMD-1803-94.pdf#page=11","Abrir facsímil")</f>
        <v>Abrir facsímil</v>
      </c>
      <c r="K2114" s="15" t="s">
        <v>23</v>
      </c>
    </row>
    <row r="2115" spans="1:11" ht="42" customHeight="1">
      <c r="A2115" s="4" t="s">
        <v>5452</v>
      </c>
      <c r="B2115" s="5" t="s">
        <v>5453</v>
      </c>
      <c r="C2115" s="5" t="s">
        <v>26</v>
      </c>
      <c r="D2115" s="5" t="s">
        <v>27</v>
      </c>
      <c r="E2115" s="5" t="s">
        <v>403</v>
      </c>
      <c r="F2115" s="9">
        <v>91</v>
      </c>
      <c r="G2115" s="9">
        <v>977</v>
      </c>
      <c r="H2115" s="5" t="s">
        <v>21</v>
      </c>
      <c r="I2115" s="5" t="s">
        <v>5454</v>
      </c>
      <c r="J2115" s="12" t="str">
        <f>HYPERLINK("https://www.boe.es/gazeta/dias/1803/11/11/pdfs/GMD-1803-91.pdf#page=9","Abrir facsímil")</f>
        <v>Abrir facsímil</v>
      </c>
      <c r="K2115" s="15" t="s">
        <v>23</v>
      </c>
    </row>
    <row r="2116" spans="1:11" ht="42" customHeight="1">
      <c r="A2116" s="4" t="s">
        <v>5455</v>
      </c>
      <c r="B2116" s="5" t="s">
        <v>5456</v>
      </c>
      <c r="C2116" s="5" t="s">
        <v>51</v>
      </c>
      <c r="D2116" s="5" t="s">
        <v>52</v>
      </c>
      <c r="E2116" s="5" t="s">
        <v>203</v>
      </c>
      <c r="F2116" s="9">
        <v>32</v>
      </c>
      <c r="G2116" s="9">
        <v>336</v>
      </c>
      <c r="H2116" s="5" t="s">
        <v>21</v>
      </c>
      <c r="I2116" s="5" t="s">
        <v>5457</v>
      </c>
      <c r="J2116" s="12" t="str">
        <f>HYPERLINK("https://www.boe.es/gazeta/dias/1803/04/22/pdfs/GMD-1803-32.pdf#page=8","Abrir facsímil")</f>
        <v>Abrir facsímil</v>
      </c>
      <c r="K2116" s="15" t="s">
        <v>23</v>
      </c>
    </row>
    <row r="2117" spans="1:11" ht="42" customHeight="1">
      <c r="A2117" s="4" t="s">
        <v>5458</v>
      </c>
      <c r="B2117" s="5" t="s">
        <v>5459</v>
      </c>
      <c r="C2117" s="5" t="s">
        <v>51</v>
      </c>
      <c r="D2117" s="5" t="s">
        <v>52</v>
      </c>
      <c r="E2117" s="5" t="s">
        <v>61</v>
      </c>
      <c r="F2117" s="9">
        <v>67</v>
      </c>
      <c r="G2117" s="9">
        <v>729</v>
      </c>
      <c r="H2117" s="5" t="s">
        <v>21</v>
      </c>
      <c r="I2117" s="5" t="s">
        <v>5460</v>
      </c>
      <c r="J2117" s="12" t="str">
        <f>HYPERLINK("https://www.boe.es/gazeta/dias/1803/08/23/pdfs/GMD-1803-67.pdf#page=9","Abrir facsímil")</f>
        <v>Abrir facsímil</v>
      </c>
      <c r="K2117" s="15" t="s">
        <v>23</v>
      </c>
    </row>
    <row r="2118" spans="1:11" ht="42" customHeight="1">
      <c r="A2118" s="4" t="s">
        <v>5461</v>
      </c>
      <c r="B2118" s="5" t="s">
        <v>5462</v>
      </c>
      <c r="C2118" s="5" t="s">
        <v>51</v>
      </c>
      <c r="D2118" s="5" t="s">
        <v>52</v>
      </c>
      <c r="E2118" s="5" t="s">
        <v>174</v>
      </c>
      <c r="F2118" s="9">
        <v>21</v>
      </c>
      <c r="G2118" s="9">
        <v>226</v>
      </c>
      <c r="H2118" s="5" t="s">
        <v>21</v>
      </c>
      <c r="I2118" s="5" t="s">
        <v>5463</v>
      </c>
      <c r="J2118" s="12" t="str">
        <f>HYPERLINK("https://www.boe.es/gazeta/dias/1803/03/15/pdfs/GMD-1803-21.pdf#page=10","Abrir facsímil")</f>
        <v>Abrir facsímil</v>
      </c>
      <c r="K2118" s="15" t="s">
        <v>23</v>
      </c>
    </row>
    <row r="2119" spans="1:11" ht="42" customHeight="1">
      <c r="A2119" s="4" t="s">
        <v>5461</v>
      </c>
      <c r="B2119" s="5" t="s">
        <v>5462</v>
      </c>
      <c r="C2119" s="5" t="s">
        <v>225</v>
      </c>
      <c r="D2119" s="5" t="s">
        <v>226</v>
      </c>
      <c r="E2119" s="5" t="s">
        <v>609</v>
      </c>
      <c r="F2119" s="9">
        <v>57</v>
      </c>
      <c r="G2119" s="9">
        <v>622</v>
      </c>
      <c r="H2119" s="5" t="s">
        <v>21</v>
      </c>
      <c r="I2119" s="5" t="s">
        <v>5464</v>
      </c>
      <c r="J2119" s="12" t="str">
        <f>HYPERLINK("https://www.boe.es/gazeta/dias/1803/07/19/pdfs/GMD-C-1803-57.pdf#page=2","Abrir facsímil")</f>
        <v>Abrir facsímil</v>
      </c>
      <c r="K2119" s="15" t="s">
        <v>23</v>
      </c>
    </row>
    <row r="2120" spans="1:11" ht="42" customHeight="1">
      <c r="A2120" s="4" t="s">
        <v>5461</v>
      </c>
      <c r="B2120" s="5" t="s">
        <v>5462</v>
      </c>
      <c r="C2120" s="5" t="s">
        <v>51</v>
      </c>
      <c r="D2120" s="5" t="s">
        <v>52</v>
      </c>
      <c r="E2120" s="5" t="s">
        <v>113</v>
      </c>
      <c r="F2120" s="9">
        <v>93</v>
      </c>
      <c r="G2120" s="9">
        <v>997</v>
      </c>
      <c r="H2120" s="5" t="s">
        <v>21</v>
      </c>
      <c r="I2120" s="5" t="s">
        <v>5465</v>
      </c>
      <c r="J2120" s="12" t="str">
        <f>HYPERLINK("https://www.boe.es/gazeta/dias/1803/11/18/pdfs/GMD-1803-93.pdf#page=9","Abrir facsímil")</f>
        <v>Abrir facsímil</v>
      </c>
      <c r="K2120" s="15" t="s">
        <v>23</v>
      </c>
    </row>
    <row r="2121" spans="1:11" ht="42" customHeight="1">
      <c r="A2121" s="4" t="s">
        <v>5466</v>
      </c>
      <c r="B2121" s="5" t="s">
        <v>5466</v>
      </c>
      <c r="C2121" s="5" t="s">
        <v>26</v>
      </c>
      <c r="D2121" s="5" t="s">
        <v>27</v>
      </c>
      <c r="E2121" s="5" t="s">
        <v>32</v>
      </c>
      <c r="F2121" s="9">
        <v>74</v>
      </c>
      <c r="G2121" s="9">
        <v>803</v>
      </c>
      <c r="H2121" s="5" t="s">
        <v>21</v>
      </c>
      <c r="I2121" s="5" t="s">
        <v>5467</v>
      </c>
      <c r="J2121" s="12" t="str">
        <f>HYPERLINK("https://www.boe.es/gazeta/dias/1803/09/13/pdfs/GMD-1803-74.pdf#page=7","Abrir facsímil")</f>
        <v>Abrir facsímil</v>
      </c>
      <c r="K2121" s="15" t="s">
        <v>23</v>
      </c>
    </row>
    <row r="2122" spans="1:11" ht="42" customHeight="1">
      <c r="A2122" s="4" t="s">
        <v>5468</v>
      </c>
      <c r="B2122" s="5" t="s">
        <v>5468</v>
      </c>
      <c r="C2122" s="5" t="s">
        <v>18</v>
      </c>
      <c r="D2122" s="5" t="s">
        <v>19</v>
      </c>
      <c r="E2122" s="5" t="s">
        <v>218</v>
      </c>
      <c r="F2122" s="9">
        <v>19</v>
      </c>
      <c r="G2122" s="9">
        <v>201</v>
      </c>
      <c r="H2122" s="5" t="s">
        <v>21</v>
      </c>
      <c r="I2122" s="5" t="s">
        <v>5469</v>
      </c>
      <c r="J2122" s="12" t="str">
        <f>HYPERLINK("https://www.boe.es/gazeta/dias/1803/03/08/pdfs/GMD-1803-19.pdf#page=9","Abrir facsímil")</f>
        <v>Abrir facsímil</v>
      </c>
      <c r="K2122" s="15" t="s">
        <v>23</v>
      </c>
    </row>
    <row r="2123" spans="1:11" ht="42" customHeight="1">
      <c r="A2123" s="4" t="s">
        <v>5470</v>
      </c>
      <c r="B2123" s="5" t="s">
        <v>5471</v>
      </c>
      <c r="C2123" s="5" t="s">
        <v>80</v>
      </c>
      <c r="D2123" s="5" t="s">
        <v>81</v>
      </c>
      <c r="E2123" s="5" t="s">
        <v>784</v>
      </c>
      <c r="F2123" s="9">
        <v>86</v>
      </c>
      <c r="G2123" s="9">
        <v>932</v>
      </c>
      <c r="H2123" s="5" t="s">
        <v>21</v>
      </c>
      <c r="I2123" s="5" t="s">
        <v>5472</v>
      </c>
      <c r="J2123" s="12" t="str">
        <f>HYPERLINK("https://www.boe.es/gazeta/dias/1803/10/25/pdfs/GMD-1803-86.pdf#page=12","Abrir facsímil")</f>
        <v>Abrir facsímil</v>
      </c>
      <c r="K2123" s="15" t="s">
        <v>23</v>
      </c>
    </row>
    <row r="2124" spans="1:11" ht="42" customHeight="1">
      <c r="A2124" s="4" t="s">
        <v>5473</v>
      </c>
      <c r="B2124" s="5" t="s">
        <v>5474</v>
      </c>
      <c r="C2124" s="5" t="s">
        <v>18</v>
      </c>
      <c r="D2124" s="5" t="s">
        <v>19</v>
      </c>
      <c r="E2124" s="5" t="s">
        <v>361</v>
      </c>
      <c r="F2124" s="9">
        <v>62</v>
      </c>
      <c r="G2124" s="9">
        <v>676</v>
      </c>
      <c r="H2124" s="5" t="s">
        <v>21</v>
      </c>
      <c r="I2124" s="5" t="s">
        <v>5475</v>
      </c>
      <c r="J2124" s="12" t="str">
        <f>HYPERLINK("https://www.boe.es/gazeta/dias/1803/08/05/pdfs/GMD-1803-62.pdf#page=8","Abrir facsímil")</f>
        <v>Abrir facsímil</v>
      </c>
      <c r="K2124" s="15" t="s">
        <v>23</v>
      </c>
    </row>
    <row r="2125" spans="1:11" ht="42" customHeight="1">
      <c r="A2125" s="4" t="s">
        <v>5476</v>
      </c>
      <c r="B2125" s="5" t="s">
        <v>5477</v>
      </c>
      <c r="C2125" s="5" t="s">
        <v>26</v>
      </c>
      <c r="D2125" s="5" t="s">
        <v>27</v>
      </c>
      <c r="E2125" s="5" t="s">
        <v>128</v>
      </c>
      <c r="F2125" s="9">
        <v>80</v>
      </c>
      <c r="G2125" s="9">
        <v>864</v>
      </c>
      <c r="H2125" s="5" t="s">
        <v>21</v>
      </c>
      <c r="I2125" s="5" t="s">
        <v>5478</v>
      </c>
      <c r="J2125" s="12" t="str">
        <f>HYPERLINK("https://www.boe.es/gazeta/dias/1803/10/04/pdfs/GMD-1803-80.pdf#page=8","Abrir facsímil")</f>
        <v>Abrir facsímil</v>
      </c>
      <c r="K2125" s="15" t="s">
        <v>23</v>
      </c>
    </row>
    <row r="2126" spans="1:11" ht="42" customHeight="1">
      <c r="A2126" s="4" t="s">
        <v>5479</v>
      </c>
      <c r="B2126" s="5" t="s">
        <v>5480</v>
      </c>
      <c r="C2126" s="5" t="s">
        <v>51</v>
      </c>
      <c r="D2126" s="5" t="s">
        <v>52</v>
      </c>
      <c r="E2126" s="5" t="s">
        <v>47</v>
      </c>
      <c r="F2126" s="9">
        <v>33</v>
      </c>
      <c r="G2126" s="9">
        <v>352</v>
      </c>
      <c r="H2126" s="5" t="s">
        <v>21</v>
      </c>
      <c r="I2126" s="5" t="s">
        <v>5481</v>
      </c>
      <c r="J2126" s="12" t="str">
        <f>HYPERLINK("https://www.boe.es/gazeta/dias/1803/04/26/pdfs/GMD-1803-33.pdf#page=12","Abrir facsímil")</f>
        <v>Abrir facsímil</v>
      </c>
      <c r="K2126" s="15" t="s">
        <v>23</v>
      </c>
    </row>
    <row r="2127" spans="1:11" ht="42" customHeight="1">
      <c r="A2127" s="4" t="s">
        <v>5479</v>
      </c>
      <c r="B2127" s="5" t="s">
        <v>5480</v>
      </c>
      <c r="C2127" s="5" t="s">
        <v>51</v>
      </c>
      <c r="D2127" s="5" t="s">
        <v>52</v>
      </c>
      <c r="E2127" s="5" t="s">
        <v>369</v>
      </c>
      <c r="F2127" s="9">
        <v>100</v>
      </c>
      <c r="G2127" s="9">
        <v>1075</v>
      </c>
      <c r="H2127" s="5" t="s">
        <v>21</v>
      </c>
      <c r="I2127" s="5" t="s">
        <v>5482</v>
      </c>
      <c r="J2127" s="12" t="str">
        <f>HYPERLINK("https://www.boe.es/gazeta/dias/1803/12/13/pdfs/GMD-1803-100.pdf#page=11","Abrir facsímil")</f>
        <v>Abrir facsímil</v>
      </c>
      <c r="K2127" s="15" t="s">
        <v>23</v>
      </c>
    </row>
    <row r="2128" spans="1:11" ht="42" customHeight="1">
      <c r="A2128" s="4" t="s">
        <v>5483</v>
      </c>
      <c r="B2128" s="5" t="s">
        <v>5484</v>
      </c>
      <c r="C2128" s="5" t="s">
        <v>26</v>
      </c>
      <c r="D2128" s="5" t="s">
        <v>27</v>
      </c>
      <c r="E2128" s="5" t="s">
        <v>657</v>
      </c>
      <c r="F2128" s="9">
        <v>24</v>
      </c>
      <c r="G2128" s="9">
        <v>256</v>
      </c>
      <c r="H2128" s="5" t="s">
        <v>21</v>
      </c>
      <c r="I2128" s="5" t="s">
        <v>5485</v>
      </c>
      <c r="J2128" s="12" t="str">
        <f>HYPERLINK("https://www.boe.es/gazeta/dias/1803/03/25/pdfs/GMD-1803-24.pdf#page=8","Abrir facsímil")</f>
        <v>Abrir facsímil</v>
      </c>
      <c r="K2128" s="15" t="s">
        <v>23</v>
      </c>
    </row>
    <row r="2129" spans="1:11" ht="42" customHeight="1">
      <c r="A2129" s="4" t="s">
        <v>5486</v>
      </c>
      <c r="B2129" s="5" t="s">
        <v>5487</v>
      </c>
      <c r="C2129" s="5" t="s">
        <v>18</v>
      </c>
      <c r="D2129" s="5" t="s">
        <v>19</v>
      </c>
      <c r="E2129" s="5" t="s">
        <v>109</v>
      </c>
      <c r="F2129" s="9">
        <v>102</v>
      </c>
      <c r="G2129" s="9">
        <v>1097</v>
      </c>
      <c r="H2129" s="5" t="s">
        <v>21</v>
      </c>
      <c r="I2129" s="5" t="s">
        <v>5488</v>
      </c>
      <c r="J2129" s="12" t="str">
        <f>HYPERLINK("https://www.boe.es/gazeta/dias/1803/12/20/pdfs/GMD-1803-102.pdf#page=9","Abrir facsímil")</f>
        <v>Abrir facsímil</v>
      </c>
      <c r="K2129" s="15" t="s">
        <v>23</v>
      </c>
    </row>
    <row r="2130" spans="1:11" ht="42" customHeight="1">
      <c r="A2130" s="4" t="s">
        <v>5489</v>
      </c>
      <c r="B2130" s="5" t="s">
        <v>5490</v>
      </c>
      <c r="C2130" s="5" t="s">
        <v>26</v>
      </c>
      <c r="D2130" s="5" t="s">
        <v>27</v>
      </c>
      <c r="E2130" s="5" t="s">
        <v>328</v>
      </c>
      <c r="F2130" s="9">
        <v>54</v>
      </c>
      <c r="G2130" s="9">
        <v>590</v>
      </c>
      <c r="H2130" s="5" t="s">
        <v>21</v>
      </c>
      <c r="I2130" s="5" t="s">
        <v>5491</v>
      </c>
      <c r="J2130" s="12" t="str">
        <f>HYPERLINK("https://www.boe.es/gazeta/dias/1803/07/08/pdfs/GMD-1803-54.pdf#page=10","Abrir facsímil")</f>
        <v>Abrir facsímil</v>
      </c>
      <c r="K2130" s="15" t="s">
        <v>23</v>
      </c>
    </row>
    <row r="2131" spans="1:11" ht="42" customHeight="1">
      <c r="A2131" s="4" t="s">
        <v>5492</v>
      </c>
      <c r="B2131" s="5" t="s">
        <v>5492</v>
      </c>
      <c r="C2131" s="5" t="s">
        <v>40</v>
      </c>
      <c r="D2131" s="5" t="s">
        <v>41</v>
      </c>
      <c r="E2131" s="5" t="s">
        <v>61</v>
      </c>
      <c r="F2131" s="9">
        <v>67</v>
      </c>
      <c r="G2131" s="9">
        <v>726</v>
      </c>
      <c r="H2131" s="5" t="s">
        <v>21</v>
      </c>
      <c r="I2131" s="5" t="s">
        <v>5493</v>
      </c>
      <c r="J2131" s="12" t="str">
        <f>HYPERLINK("https://www.boe.es/gazeta/dias/1803/08/23/pdfs/GMD-1803-67.pdf#page=6","Abrir facsímil")</f>
        <v>Abrir facsímil</v>
      </c>
      <c r="K2131" s="15" t="s">
        <v>23</v>
      </c>
    </row>
    <row r="2132" spans="1:11" ht="42" customHeight="1">
      <c r="A2132" s="4" t="s">
        <v>5494</v>
      </c>
      <c r="B2132" s="5" t="s">
        <v>5494</v>
      </c>
      <c r="C2132" s="5" t="s">
        <v>26</v>
      </c>
      <c r="D2132" s="5" t="s">
        <v>27</v>
      </c>
      <c r="E2132" s="5" t="s">
        <v>214</v>
      </c>
      <c r="F2132" s="9">
        <v>17</v>
      </c>
      <c r="G2132" s="9">
        <v>176</v>
      </c>
      <c r="H2132" s="5" t="s">
        <v>21</v>
      </c>
      <c r="I2132" s="5" t="s">
        <v>5495</v>
      </c>
      <c r="J2132" s="12" t="str">
        <f>HYPERLINK("https://www.boe.es/gazeta/dias/1803/03/01/pdfs/GMD-1803-17.pdf#page=8","Abrir facsímil")</f>
        <v>Abrir facsímil</v>
      </c>
      <c r="K2132" s="15" t="s">
        <v>23</v>
      </c>
    </row>
    <row r="2133" spans="1:11" ht="42" customHeight="1">
      <c r="A2133" s="4" t="s">
        <v>5496</v>
      </c>
      <c r="B2133" s="5" t="s">
        <v>5496</v>
      </c>
      <c r="C2133" s="5" t="s">
        <v>80</v>
      </c>
      <c r="D2133" s="5" t="s">
        <v>81</v>
      </c>
      <c r="E2133" s="5" t="s">
        <v>272</v>
      </c>
      <c r="F2133" s="9">
        <v>25</v>
      </c>
      <c r="G2133" s="9">
        <v>264</v>
      </c>
      <c r="H2133" s="5" t="s">
        <v>21</v>
      </c>
      <c r="I2133" s="5" t="s">
        <v>5497</v>
      </c>
      <c r="J2133" s="12" t="str">
        <f>HYPERLINK("https://www.boe.es/gazeta/dias/1803/03/29/pdfs/GMD-1803-25.pdf#page=4","Abrir facsímil")</f>
        <v>Abrir facsímil</v>
      </c>
      <c r="K2133" s="15" t="s">
        <v>23</v>
      </c>
    </row>
    <row r="2134" spans="1:11" ht="42" customHeight="1">
      <c r="A2134" s="4" t="s">
        <v>5498</v>
      </c>
      <c r="B2134" s="5" t="s">
        <v>5499</v>
      </c>
      <c r="C2134" s="5" t="s">
        <v>26</v>
      </c>
      <c r="D2134" s="5" t="s">
        <v>27</v>
      </c>
      <c r="E2134" s="5" t="s">
        <v>191</v>
      </c>
      <c r="F2134" s="9">
        <v>34</v>
      </c>
      <c r="G2134" s="9">
        <v>358</v>
      </c>
      <c r="H2134" s="5" t="s">
        <v>21</v>
      </c>
      <c r="I2134" s="5" t="s">
        <v>5500</v>
      </c>
      <c r="J2134" s="12" t="str">
        <f>HYPERLINK("https://www.boe.es/gazeta/dias/1803/04/29/pdfs/GMD-1803-34.pdf#page=6","Abrir facsímil")</f>
        <v>Abrir facsímil</v>
      </c>
      <c r="K2134" s="15" t="s">
        <v>23</v>
      </c>
    </row>
    <row r="2135" spans="1:11" ht="42" customHeight="1">
      <c r="A2135" s="4" t="s">
        <v>5501</v>
      </c>
      <c r="B2135" s="5" t="s">
        <v>5502</v>
      </c>
      <c r="C2135" s="5" t="s">
        <v>40</v>
      </c>
      <c r="D2135" s="5" t="s">
        <v>41</v>
      </c>
      <c r="E2135" s="5" t="s">
        <v>407</v>
      </c>
      <c r="F2135" s="9">
        <v>82</v>
      </c>
      <c r="G2135" s="9">
        <v>886</v>
      </c>
      <c r="H2135" s="5" t="s">
        <v>21</v>
      </c>
      <c r="I2135" s="5" t="s">
        <v>5503</v>
      </c>
      <c r="J2135" s="12" t="str">
        <f>HYPERLINK("https://www.boe.es/gazeta/dias/1803/10/11/pdfs/GMD-1803-82.pdf#page=10","Abrir facsímil")</f>
        <v>Abrir facsímil</v>
      </c>
      <c r="K2135" s="15" t="s">
        <v>23</v>
      </c>
    </row>
    <row r="2136" spans="1:11" ht="42" customHeight="1">
      <c r="A2136" s="4" t="s">
        <v>5504</v>
      </c>
      <c r="B2136" s="5" t="s">
        <v>5504</v>
      </c>
      <c r="C2136" s="5" t="s">
        <v>26</v>
      </c>
      <c r="D2136" s="5" t="s">
        <v>27</v>
      </c>
      <c r="E2136" s="5" t="s">
        <v>258</v>
      </c>
      <c r="F2136" s="9">
        <v>7</v>
      </c>
      <c r="G2136" s="9">
        <v>64</v>
      </c>
      <c r="H2136" s="5" t="s">
        <v>21</v>
      </c>
      <c r="I2136" s="5" t="s">
        <v>5505</v>
      </c>
      <c r="J2136" s="12" t="str">
        <f>HYPERLINK("https://www.boe.es/gazeta/dias/1803/01/25/pdfs/GMD-1803-7.pdf#page=4","Abrir facsímil")</f>
        <v>Abrir facsímil</v>
      </c>
      <c r="K2136" s="15" t="s">
        <v>23</v>
      </c>
    </row>
    <row r="2137" spans="1:11" ht="42" customHeight="1">
      <c r="A2137" s="4" t="s">
        <v>5506</v>
      </c>
      <c r="B2137" s="5" t="s">
        <v>5506</v>
      </c>
      <c r="C2137" s="5" t="s">
        <v>26</v>
      </c>
      <c r="D2137" s="5" t="s">
        <v>27</v>
      </c>
      <c r="E2137" s="5" t="s">
        <v>1915</v>
      </c>
      <c r="F2137" s="9">
        <v>44</v>
      </c>
      <c r="G2137" s="9">
        <v>455</v>
      </c>
      <c r="H2137" s="5" t="s">
        <v>21</v>
      </c>
      <c r="I2137" s="5" t="s">
        <v>5507</v>
      </c>
      <c r="J2137" s="12" t="str">
        <f>HYPERLINK("https://www.boe.es/gazeta/dias/1803/06/03/pdfs/GMD-1803-44.pdf#page=3","Abrir facsímil")</f>
        <v>Abrir facsímil</v>
      </c>
      <c r="K2137" s="15" t="s">
        <v>23</v>
      </c>
    </row>
    <row r="2138" spans="1:11" ht="42" customHeight="1">
      <c r="A2138" s="4" t="s">
        <v>5508</v>
      </c>
      <c r="B2138" s="5" t="s">
        <v>5509</v>
      </c>
      <c r="C2138" s="5" t="s">
        <v>26</v>
      </c>
      <c r="D2138" s="5" t="s">
        <v>27</v>
      </c>
      <c r="E2138" s="5" t="s">
        <v>501</v>
      </c>
      <c r="F2138" s="9">
        <v>22</v>
      </c>
      <c r="G2138" s="9">
        <v>237</v>
      </c>
      <c r="H2138" s="5" t="s">
        <v>21</v>
      </c>
      <c r="I2138" s="5" t="s">
        <v>5510</v>
      </c>
      <c r="J2138" s="12" t="str">
        <f>HYPERLINK("https://www.boe.es/gazeta/dias/1803/03/18/pdfs/GMD-1803-22.pdf#page=9","Abrir facsímil")</f>
        <v>Abrir facsímil</v>
      </c>
      <c r="K2138" s="15" t="s">
        <v>23</v>
      </c>
    </row>
    <row r="2139" spans="1:11" ht="42" customHeight="1">
      <c r="A2139" s="4" t="s">
        <v>5511</v>
      </c>
      <c r="B2139" s="5" t="s">
        <v>5512</v>
      </c>
      <c r="C2139" s="5" t="s">
        <v>51</v>
      </c>
      <c r="D2139" s="5" t="s">
        <v>52</v>
      </c>
      <c r="E2139" s="5" t="s">
        <v>109</v>
      </c>
      <c r="F2139" s="9">
        <v>102</v>
      </c>
      <c r="G2139" s="9">
        <v>1097</v>
      </c>
      <c r="H2139" s="5" t="s">
        <v>21</v>
      </c>
      <c r="I2139" s="5" t="s">
        <v>5513</v>
      </c>
      <c r="J2139" s="12" t="str">
        <f>HYPERLINK("https://www.boe.es/gazeta/dias/1803/12/20/pdfs/GMD-1803-102.pdf#page=9","Abrir facsímil")</f>
        <v>Abrir facsímil</v>
      </c>
      <c r="K2139" s="15" t="s">
        <v>23</v>
      </c>
    </row>
    <row r="2140" spans="1:11" ht="42" customHeight="1">
      <c r="A2140" s="4" t="s">
        <v>5514</v>
      </c>
      <c r="B2140" s="5" t="s">
        <v>5515</v>
      </c>
      <c r="C2140" s="5" t="s">
        <v>18</v>
      </c>
      <c r="D2140" s="5" t="s">
        <v>19</v>
      </c>
      <c r="E2140" s="5" t="s">
        <v>967</v>
      </c>
      <c r="F2140" s="9">
        <v>35</v>
      </c>
      <c r="G2140" s="9">
        <v>367</v>
      </c>
      <c r="H2140" s="5" t="s">
        <v>21</v>
      </c>
      <c r="I2140" s="5" t="s">
        <v>5516</v>
      </c>
      <c r="J2140" s="12" t="str">
        <f>HYPERLINK("https://www.boe.es/gazeta/dias/1803/05/03/pdfs/GMD-1803-35.pdf#page=7","Abrir facsímil")</f>
        <v>Abrir facsímil</v>
      </c>
      <c r="K2140" s="15" t="s">
        <v>23</v>
      </c>
    </row>
    <row r="2141" spans="1:11" ht="42" customHeight="1">
      <c r="A2141" s="4" t="s">
        <v>5517</v>
      </c>
      <c r="B2141" s="5" t="s">
        <v>5518</v>
      </c>
      <c r="C2141" s="5" t="s">
        <v>26</v>
      </c>
      <c r="D2141" s="5" t="s">
        <v>27</v>
      </c>
      <c r="E2141" s="5" t="s">
        <v>321</v>
      </c>
      <c r="F2141" s="9">
        <v>94</v>
      </c>
      <c r="G2141" s="9">
        <v>1010</v>
      </c>
      <c r="H2141" s="5" t="s">
        <v>21</v>
      </c>
      <c r="I2141" s="5" t="s">
        <v>5519</v>
      </c>
      <c r="J2141" s="12" t="str">
        <f>HYPERLINK("https://www.boe.es/gazeta/dias/1803/11/22/pdfs/GMD-1803-94.pdf#page=10","Abrir facsímil")</f>
        <v>Abrir facsímil</v>
      </c>
      <c r="K2141" s="15" t="s">
        <v>23</v>
      </c>
    </row>
    <row r="2142" spans="1:11" ht="42" customHeight="1">
      <c r="A2142" s="4" t="s">
        <v>5520</v>
      </c>
      <c r="B2142" s="5" t="s">
        <v>5521</v>
      </c>
      <c r="C2142" s="5" t="s">
        <v>18</v>
      </c>
      <c r="D2142" s="5" t="s">
        <v>19</v>
      </c>
      <c r="E2142" s="5" t="s">
        <v>395</v>
      </c>
      <c r="F2142" s="9">
        <v>13</v>
      </c>
      <c r="G2142" s="9">
        <v>133</v>
      </c>
      <c r="H2142" s="5" t="s">
        <v>21</v>
      </c>
      <c r="I2142" s="5" t="s">
        <v>5522</v>
      </c>
      <c r="J2142" s="12" t="str">
        <f>HYPERLINK("https://www.boe.es/gazeta/dias/1803/02/15/pdfs/GMD-1803-13.pdf#page=9","Abrir facsímil")</f>
        <v>Abrir facsímil</v>
      </c>
      <c r="K2142" s="15" t="s">
        <v>23</v>
      </c>
    </row>
    <row r="2143" spans="1:11" ht="42" customHeight="1">
      <c r="A2143" s="4" t="s">
        <v>5523</v>
      </c>
      <c r="B2143" s="5" t="s">
        <v>5524</v>
      </c>
      <c r="C2143" s="5" t="s">
        <v>18</v>
      </c>
      <c r="D2143" s="5" t="s">
        <v>19</v>
      </c>
      <c r="E2143" s="5" t="s">
        <v>289</v>
      </c>
      <c r="F2143" s="9">
        <v>38</v>
      </c>
      <c r="G2143" s="9">
        <v>403</v>
      </c>
      <c r="H2143" s="5" t="s">
        <v>21</v>
      </c>
      <c r="I2143" s="5" t="s">
        <v>5525</v>
      </c>
      <c r="J2143" s="12" t="str">
        <f>HYPERLINK("https://www.boe.es/gazeta/dias/1803/05/13/pdfs/GMD-1803-38.pdf#page=11","Abrir facsímil")</f>
        <v>Abrir facsímil</v>
      </c>
      <c r="K2143" s="15" t="s">
        <v>23</v>
      </c>
    </row>
    <row r="2144" spans="1:11" ht="42" customHeight="1">
      <c r="A2144" s="4" t="s">
        <v>5526</v>
      </c>
      <c r="B2144" s="5" t="s">
        <v>5527</v>
      </c>
      <c r="C2144" s="5" t="s">
        <v>18</v>
      </c>
      <c r="D2144" s="5" t="s">
        <v>19</v>
      </c>
      <c r="E2144" s="5" t="s">
        <v>417</v>
      </c>
      <c r="F2144" s="9">
        <v>72</v>
      </c>
      <c r="G2144" s="9">
        <v>786</v>
      </c>
      <c r="H2144" s="5" t="s">
        <v>21</v>
      </c>
      <c r="I2144" s="5" t="s">
        <v>5528</v>
      </c>
      <c r="J2144" s="12" t="str">
        <f>HYPERLINK("https://www.boe.es/gazeta/dias/1803/09/09/pdfs/GMD-1803-72.pdf#page=6","Abrir facsímil")</f>
        <v>Abrir facsímil</v>
      </c>
      <c r="K2144" s="15" t="s">
        <v>23</v>
      </c>
    </row>
    <row r="2145" spans="1:11" ht="42" customHeight="1">
      <c r="A2145" s="4" t="s">
        <v>5526</v>
      </c>
      <c r="B2145" s="5" t="s">
        <v>5527</v>
      </c>
      <c r="C2145" s="5" t="s">
        <v>26</v>
      </c>
      <c r="D2145" s="5" t="s">
        <v>27</v>
      </c>
      <c r="E2145" s="5" t="s">
        <v>113</v>
      </c>
      <c r="F2145" s="9">
        <v>93</v>
      </c>
      <c r="G2145" s="9">
        <v>995</v>
      </c>
      <c r="H2145" s="5" t="s">
        <v>21</v>
      </c>
      <c r="I2145" s="5" t="s">
        <v>5529</v>
      </c>
      <c r="J2145" s="12" t="str">
        <f>HYPERLINK("https://www.boe.es/gazeta/dias/1803/11/18/pdfs/GMD-1803-93.pdf#page=7","Abrir facsímil")</f>
        <v>Abrir facsímil</v>
      </c>
      <c r="K2145" s="15" t="s">
        <v>23</v>
      </c>
    </row>
    <row r="2146" spans="1:11" ht="42" customHeight="1">
      <c r="A2146" s="4" t="s">
        <v>5530</v>
      </c>
      <c r="B2146" s="5" t="s">
        <v>5531</v>
      </c>
      <c r="C2146" s="5" t="s">
        <v>26</v>
      </c>
      <c r="D2146" s="5" t="s">
        <v>27</v>
      </c>
      <c r="E2146" s="5" t="s">
        <v>207</v>
      </c>
      <c r="F2146" s="9">
        <v>27</v>
      </c>
      <c r="G2146" s="9">
        <v>292</v>
      </c>
      <c r="H2146" s="5" t="s">
        <v>21</v>
      </c>
      <c r="I2146" s="5" t="s">
        <v>5532</v>
      </c>
      <c r="J2146" s="12" t="str">
        <f>HYPERLINK("https://www.boe.es/gazeta/dias/1803/04/05/pdfs/GMD-1803-27.pdf#page=8","Abrir facsímil")</f>
        <v>Abrir facsímil</v>
      </c>
      <c r="K2146" s="15" t="s">
        <v>23</v>
      </c>
    </row>
    <row r="2147" spans="1:11" ht="42" customHeight="1">
      <c r="A2147" s="4" t="s">
        <v>5533</v>
      </c>
      <c r="B2147" s="5" t="s">
        <v>5534</v>
      </c>
      <c r="C2147" s="5" t="s">
        <v>26</v>
      </c>
      <c r="D2147" s="5" t="s">
        <v>27</v>
      </c>
      <c r="E2147" s="5" t="s">
        <v>882</v>
      </c>
      <c r="F2147" s="9">
        <v>60</v>
      </c>
      <c r="G2147" s="9">
        <v>657</v>
      </c>
      <c r="H2147" s="5" t="s">
        <v>21</v>
      </c>
      <c r="I2147" s="5" t="s">
        <v>5535</v>
      </c>
      <c r="J2147" s="12" t="str">
        <f>HYPERLINK("https://www.boe.es/gazeta/dias/1803/07/29/pdfs/GMD-1803-60.pdf#page=9","Abrir facsímil")</f>
        <v>Abrir facsímil</v>
      </c>
      <c r="K2147" s="15" t="s">
        <v>23</v>
      </c>
    </row>
    <row r="2148" spans="1:11" ht="42" customHeight="1">
      <c r="A2148" s="4" t="s">
        <v>5536</v>
      </c>
      <c r="B2148" s="5" t="s">
        <v>5537</v>
      </c>
      <c r="C2148" s="5" t="s">
        <v>18</v>
      </c>
      <c r="D2148" s="5" t="s">
        <v>19</v>
      </c>
      <c r="E2148" s="5" t="s">
        <v>373</v>
      </c>
      <c r="F2148" s="9">
        <v>77</v>
      </c>
      <c r="G2148" s="9">
        <v>833</v>
      </c>
      <c r="H2148" s="5" t="s">
        <v>21</v>
      </c>
      <c r="I2148" s="5" t="s">
        <v>5538</v>
      </c>
      <c r="J2148" s="12" t="str">
        <f>HYPERLINK("https://www.boe.es/gazeta/dias/1803/09/23/pdfs/GMD-1803-77.pdf#page=9","Abrir facsímil")</f>
        <v>Abrir facsímil</v>
      </c>
      <c r="K2148" s="15" t="s">
        <v>23</v>
      </c>
    </row>
    <row r="2149" spans="1:11" ht="42" customHeight="1">
      <c r="A2149" s="4" t="s">
        <v>5539</v>
      </c>
      <c r="B2149" s="5" t="s">
        <v>5540</v>
      </c>
      <c r="C2149" s="5" t="s">
        <v>18</v>
      </c>
      <c r="D2149" s="5" t="s">
        <v>19</v>
      </c>
      <c r="E2149" s="5" t="s">
        <v>203</v>
      </c>
      <c r="F2149" s="9">
        <v>32</v>
      </c>
      <c r="G2149" s="9">
        <v>336</v>
      </c>
      <c r="H2149" s="5" t="s">
        <v>21</v>
      </c>
      <c r="I2149" s="5" t="s">
        <v>5541</v>
      </c>
      <c r="J2149" s="12" t="str">
        <f>HYPERLINK("https://www.boe.es/gazeta/dias/1803/04/22/pdfs/GMD-1803-32.pdf#page=8","Abrir facsímil")</f>
        <v>Abrir facsímil</v>
      </c>
      <c r="K2149" s="15" t="s">
        <v>23</v>
      </c>
    </row>
    <row r="2150" spans="1:11" ht="42" customHeight="1">
      <c r="A2150" s="4" t="s">
        <v>5539</v>
      </c>
      <c r="B2150" s="5" t="s">
        <v>5540</v>
      </c>
      <c r="C2150" s="5" t="s">
        <v>51</v>
      </c>
      <c r="D2150" s="5" t="s">
        <v>52</v>
      </c>
      <c r="E2150" s="5" t="s">
        <v>321</v>
      </c>
      <c r="F2150" s="9">
        <v>94</v>
      </c>
      <c r="G2150" s="9">
        <v>1010</v>
      </c>
      <c r="H2150" s="5" t="s">
        <v>21</v>
      </c>
      <c r="I2150" s="5" t="s">
        <v>5542</v>
      </c>
      <c r="J2150" s="12" t="str">
        <f>HYPERLINK("https://www.boe.es/gazeta/dias/1803/11/22/pdfs/GMD-1803-94.pdf#page=10","Abrir facsímil")</f>
        <v>Abrir facsímil</v>
      </c>
      <c r="K2150" s="15" t="s">
        <v>23</v>
      </c>
    </row>
    <row r="2151" spans="1:11" ht="42" customHeight="1">
      <c r="A2151" s="4" t="s">
        <v>5543</v>
      </c>
      <c r="B2151" s="5" t="s">
        <v>5544</v>
      </c>
      <c r="C2151" s="5" t="s">
        <v>18</v>
      </c>
      <c r="D2151" s="5" t="s">
        <v>19</v>
      </c>
      <c r="E2151" s="5" t="s">
        <v>109</v>
      </c>
      <c r="F2151" s="9">
        <v>102</v>
      </c>
      <c r="G2151" s="9">
        <v>1097</v>
      </c>
      <c r="H2151" s="5" t="s">
        <v>21</v>
      </c>
      <c r="I2151" s="5" t="s">
        <v>5545</v>
      </c>
      <c r="J2151" s="12" t="str">
        <f>HYPERLINK("https://www.boe.es/gazeta/dias/1803/12/20/pdfs/GMD-1803-102.pdf#page=9","Abrir facsímil")</f>
        <v>Abrir facsímil</v>
      </c>
      <c r="K2151" s="15" t="s">
        <v>23</v>
      </c>
    </row>
    <row r="2152" spans="1:11" ht="42" customHeight="1">
      <c r="A2152" s="4" t="s">
        <v>5546</v>
      </c>
      <c r="B2152" s="5" t="s">
        <v>5547</v>
      </c>
      <c r="C2152" s="5" t="s">
        <v>80</v>
      </c>
      <c r="D2152" s="5" t="s">
        <v>81</v>
      </c>
      <c r="E2152" s="5" t="s">
        <v>93</v>
      </c>
      <c r="F2152" s="9">
        <v>43</v>
      </c>
      <c r="G2152" s="9">
        <v>452</v>
      </c>
      <c r="H2152" s="5" t="s">
        <v>21</v>
      </c>
      <c r="I2152" s="5" t="s">
        <v>5548</v>
      </c>
      <c r="J2152" s="12" t="str">
        <f>HYPERLINK("https://www.boe.es/gazeta/dias/1803/05/31/pdfs/GMD-1803-43.pdf#page=12","Abrir facsímil")</f>
        <v>Abrir facsímil</v>
      </c>
      <c r="K2152" s="15" t="s">
        <v>23</v>
      </c>
    </row>
    <row r="2153" spans="1:11" ht="42" customHeight="1">
      <c r="A2153" s="4" t="s">
        <v>5549</v>
      </c>
      <c r="B2153" s="5" t="s">
        <v>5550</v>
      </c>
      <c r="C2153" s="5" t="s">
        <v>26</v>
      </c>
      <c r="D2153" s="5" t="s">
        <v>27</v>
      </c>
      <c r="E2153" s="5" t="s">
        <v>795</v>
      </c>
      <c r="F2153" s="9">
        <v>98</v>
      </c>
      <c r="G2153" s="9">
        <v>1051</v>
      </c>
      <c r="H2153" s="5" t="s">
        <v>21</v>
      </c>
      <c r="I2153" s="5" t="s">
        <v>5551</v>
      </c>
      <c r="J2153" s="12" t="str">
        <f>HYPERLINK("https://www.boe.es/gazeta/dias/1803/12/06/pdfs/GMD-1803-98.pdf#page=7","Abrir facsímil")</f>
        <v>Abrir facsímil</v>
      </c>
      <c r="K2153" s="15" t="s">
        <v>23</v>
      </c>
    </row>
    <row r="2154" spans="1:11" ht="42" customHeight="1">
      <c r="A2154" s="4" t="s">
        <v>5552</v>
      </c>
      <c r="B2154" s="5" t="s">
        <v>5553</v>
      </c>
      <c r="C2154" s="5" t="s">
        <v>40</v>
      </c>
      <c r="D2154" s="5" t="s">
        <v>41</v>
      </c>
      <c r="E2154" s="5" t="s">
        <v>795</v>
      </c>
      <c r="F2154" s="9">
        <v>98</v>
      </c>
      <c r="G2154" s="9">
        <v>1050</v>
      </c>
      <c r="H2154" s="5" t="s">
        <v>21</v>
      </c>
      <c r="I2154" s="5" t="s">
        <v>5554</v>
      </c>
      <c r="J2154" s="12" t="str">
        <f>HYPERLINK("https://www.boe.es/gazeta/dias/1803/12/06/pdfs/GMD-1803-98.pdf#page=6","Abrir facsímil")</f>
        <v>Abrir facsímil</v>
      </c>
      <c r="K2154" s="15" t="s">
        <v>23</v>
      </c>
    </row>
    <row r="2155" spans="1:11" ht="42" customHeight="1">
      <c r="A2155" s="4" t="s">
        <v>5555</v>
      </c>
      <c r="B2155" s="5" t="s">
        <v>5556</v>
      </c>
      <c r="C2155" s="5" t="s">
        <v>46</v>
      </c>
      <c r="D2155" s="5" t="s">
        <v>19</v>
      </c>
      <c r="E2155" s="5" t="s">
        <v>174</v>
      </c>
      <c r="F2155" s="9">
        <v>21</v>
      </c>
      <c r="G2155" s="9">
        <v>226</v>
      </c>
      <c r="H2155" s="5" t="s">
        <v>21</v>
      </c>
      <c r="I2155" s="5" t="s">
        <v>5557</v>
      </c>
      <c r="J2155" s="12" t="str">
        <f>HYPERLINK("https://www.boe.es/gazeta/dias/1803/03/15/pdfs/GMD-1803-21.pdf#page=10","Abrir facsímil")</f>
        <v>Abrir facsímil</v>
      </c>
      <c r="K2155" s="15" t="s">
        <v>23</v>
      </c>
    </row>
    <row r="2156" spans="1:11" ht="42" customHeight="1">
      <c r="A2156" s="4" t="s">
        <v>5555</v>
      </c>
      <c r="B2156" s="5" t="s">
        <v>5556</v>
      </c>
      <c r="C2156" s="5" t="s">
        <v>46</v>
      </c>
      <c r="D2156" s="5" t="s">
        <v>19</v>
      </c>
      <c r="E2156" s="5" t="s">
        <v>609</v>
      </c>
      <c r="F2156" s="9">
        <v>57</v>
      </c>
      <c r="G2156" s="9">
        <v>622</v>
      </c>
      <c r="H2156" s="5" t="s">
        <v>21</v>
      </c>
      <c r="I2156" s="5" t="s">
        <v>5558</v>
      </c>
      <c r="J2156" s="12" t="str">
        <f>HYPERLINK("https://www.boe.es/gazeta/dias/1803/07/19/pdfs/GMD-C-1803-57.pdf#page=2","Abrir facsímil")</f>
        <v>Abrir facsímil</v>
      </c>
      <c r="K2156" s="15" t="s">
        <v>23</v>
      </c>
    </row>
    <row r="2157" spans="1:11" ht="42" customHeight="1">
      <c r="A2157" s="4" t="s">
        <v>5555</v>
      </c>
      <c r="B2157" s="5" t="s">
        <v>5556</v>
      </c>
      <c r="C2157" s="5" t="s">
        <v>46</v>
      </c>
      <c r="D2157" s="5" t="s">
        <v>19</v>
      </c>
      <c r="E2157" s="5" t="s">
        <v>113</v>
      </c>
      <c r="F2157" s="9">
        <v>93</v>
      </c>
      <c r="G2157" s="9">
        <v>997</v>
      </c>
      <c r="H2157" s="5" t="s">
        <v>21</v>
      </c>
      <c r="I2157" s="5" t="s">
        <v>5559</v>
      </c>
      <c r="J2157" s="12" t="str">
        <f>HYPERLINK("https://www.boe.es/gazeta/dias/1803/11/18/pdfs/GMD-1803-93.pdf#page=9","Abrir facsímil")</f>
        <v>Abrir facsímil</v>
      </c>
      <c r="K2157" s="15" t="s">
        <v>23</v>
      </c>
    </row>
    <row r="2158" spans="1:11" ht="42" customHeight="1">
      <c r="A2158" s="4" t="s">
        <v>5560</v>
      </c>
      <c r="B2158" s="5" t="s">
        <v>5561</v>
      </c>
      <c r="C2158" s="5" t="s">
        <v>26</v>
      </c>
      <c r="D2158" s="5" t="s">
        <v>27</v>
      </c>
      <c r="E2158" s="5" t="s">
        <v>32</v>
      </c>
      <c r="F2158" s="9">
        <v>74</v>
      </c>
      <c r="G2158" s="9">
        <v>803</v>
      </c>
      <c r="H2158" s="5" t="s">
        <v>21</v>
      </c>
      <c r="I2158" s="5" t="s">
        <v>5562</v>
      </c>
      <c r="J2158" s="12" t="str">
        <f>HYPERLINK("https://www.boe.es/gazeta/dias/1803/09/13/pdfs/GMD-1803-74.pdf#page=7","Abrir facsímil")</f>
        <v>Abrir facsímil</v>
      </c>
      <c r="K2158" s="15" t="s">
        <v>23</v>
      </c>
    </row>
    <row r="2159" spans="1:11" ht="42" customHeight="1">
      <c r="A2159" s="4" t="s">
        <v>5563</v>
      </c>
      <c r="B2159" s="5" t="s">
        <v>5564</v>
      </c>
      <c r="C2159" s="5" t="s">
        <v>80</v>
      </c>
      <c r="D2159" s="5" t="s">
        <v>81</v>
      </c>
      <c r="E2159" s="5" t="s">
        <v>53</v>
      </c>
      <c r="F2159" s="9">
        <v>99</v>
      </c>
      <c r="G2159" s="9">
        <v>1060</v>
      </c>
      <c r="H2159" s="5" t="s">
        <v>21</v>
      </c>
      <c r="I2159" s="5" t="s">
        <v>5565</v>
      </c>
      <c r="J2159" s="12" t="str">
        <f>HYPERLINK("https://www.boe.es/gazeta/dias/1803/12/09/pdfs/GMD-1803-99.pdf#page=8","Abrir facsímil")</f>
        <v>Abrir facsímil</v>
      </c>
      <c r="K2159" s="15" t="s">
        <v>23</v>
      </c>
    </row>
    <row r="2160" spans="1:11" ht="42" customHeight="1">
      <c r="A2160" s="4" t="s">
        <v>5566</v>
      </c>
      <c r="B2160" s="5" t="s">
        <v>5567</v>
      </c>
      <c r="C2160" s="5" t="s">
        <v>51</v>
      </c>
      <c r="D2160" s="5" t="s">
        <v>52</v>
      </c>
      <c r="E2160" s="5" t="s">
        <v>278</v>
      </c>
      <c r="F2160" s="9">
        <v>46</v>
      </c>
      <c r="G2160" s="9">
        <v>486</v>
      </c>
      <c r="H2160" s="5" t="s">
        <v>21</v>
      </c>
      <c r="I2160" s="5" t="s">
        <v>5568</v>
      </c>
      <c r="J2160" s="12" t="str">
        <f>HYPERLINK("https://www.boe.es/gazeta/dias/1803/06/10/pdfs/GMD-1803-46.pdf#page=10","Abrir facsímil")</f>
        <v>Abrir facsímil</v>
      </c>
      <c r="K2160" s="15" t="s">
        <v>23</v>
      </c>
    </row>
    <row r="2161" spans="1:11" ht="42" customHeight="1">
      <c r="A2161" s="4" t="s">
        <v>5569</v>
      </c>
      <c r="B2161" s="5" t="s">
        <v>5570</v>
      </c>
      <c r="C2161" s="5" t="s">
        <v>26</v>
      </c>
      <c r="D2161" s="5" t="s">
        <v>27</v>
      </c>
      <c r="E2161" s="5" t="s">
        <v>203</v>
      </c>
      <c r="F2161" s="9">
        <v>32</v>
      </c>
      <c r="G2161" s="9">
        <v>336</v>
      </c>
      <c r="H2161" s="5" t="s">
        <v>21</v>
      </c>
      <c r="I2161" s="5" t="s">
        <v>5571</v>
      </c>
      <c r="J2161" s="12" t="str">
        <f>HYPERLINK("https://www.boe.es/gazeta/dias/1803/04/22/pdfs/GMD-1803-32.pdf#page=8","Abrir facsímil")</f>
        <v>Abrir facsímil</v>
      </c>
      <c r="K2161" s="15" t="s">
        <v>23</v>
      </c>
    </row>
    <row r="2162" spans="1:11" ht="42" customHeight="1">
      <c r="A2162" s="4" t="s">
        <v>5572</v>
      </c>
      <c r="B2162" s="5" t="s">
        <v>5573</v>
      </c>
      <c r="C2162" s="5" t="s">
        <v>26</v>
      </c>
      <c r="D2162" s="5" t="s">
        <v>27</v>
      </c>
      <c r="E2162" s="5" t="s">
        <v>332</v>
      </c>
      <c r="F2162" s="9">
        <v>11</v>
      </c>
      <c r="G2162" s="9">
        <v>110</v>
      </c>
      <c r="H2162" s="5" t="s">
        <v>21</v>
      </c>
      <c r="I2162" s="5" t="s">
        <v>5574</v>
      </c>
      <c r="J2162" s="12" t="str">
        <f>HYPERLINK("https://www.boe.es/gazeta/dias/1803/02/08/pdfs/GMD-1803-11.pdf#page=6","Abrir facsímil")</f>
        <v>Abrir facsímil</v>
      </c>
      <c r="K2162" s="15" t="s">
        <v>23</v>
      </c>
    </row>
    <row r="2163" spans="1:11" ht="42" customHeight="1">
      <c r="A2163" s="4" t="s">
        <v>5575</v>
      </c>
      <c r="B2163" s="5" t="s">
        <v>5576</v>
      </c>
      <c r="C2163" s="5" t="s">
        <v>26</v>
      </c>
      <c r="D2163" s="5" t="s">
        <v>27</v>
      </c>
      <c r="E2163" s="5" t="s">
        <v>373</v>
      </c>
      <c r="F2163" s="9">
        <v>77</v>
      </c>
      <c r="G2163" s="9">
        <v>834</v>
      </c>
      <c r="H2163" s="5" t="s">
        <v>21</v>
      </c>
      <c r="I2163" s="5" t="s">
        <v>5577</v>
      </c>
      <c r="J2163" s="12" t="str">
        <f>HYPERLINK("https://www.boe.es/gazeta/dias/1803/09/23/pdfs/GMD-1803-77.pdf#page=10","Abrir facsímil")</f>
        <v>Abrir facsímil</v>
      </c>
      <c r="K2163" s="15" t="s">
        <v>23</v>
      </c>
    </row>
    <row r="2164" spans="1:11" ht="42" customHeight="1">
      <c r="A2164" s="4" t="s">
        <v>5578</v>
      </c>
      <c r="B2164" s="5" t="s">
        <v>5579</v>
      </c>
      <c r="C2164" s="5" t="s">
        <v>51</v>
      </c>
      <c r="D2164" s="5" t="s">
        <v>52</v>
      </c>
      <c r="E2164" s="5" t="s">
        <v>207</v>
      </c>
      <c r="F2164" s="9">
        <v>27</v>
      </c>
      <c r="G2164" s="9">
        <v>293</v>
      </c>
      <c r="H2164" s="5" t="s">
        <v>21</v>
      </c>
      <c r="I2164" s="5" t="s">
        <v>5580</v>
      </c>
      <c r="J2164" s="12" t="str">
        <f>HYPERLINK("https://www.boe.es/gazeta/dias/1803/04/05/pdfs/GMD-1803-27.pdf#page=9","Abrir facsímil")</f>
        <v>Abrir facsímil</v>
      </c>
      <c r="K2164" s="15" t="s">
        <v>23</v>
      </c>
    </row>
    <row r="2165" spans="1:11" ht="42" customHeight="1">
      <c r="A2165" s="4" t="s">
        <v>5581</v>
      </c>
      <c r="B2165" s="5" t="s">
        <v>5582</v>
      </c>
      <c r="C2165" s="5" t="s">
        <v>26</v>
      </c>
      <c r="D2165" s="5" t="s">
        <v>27</v>
      </c>
      <c r="E2165" s="5" t="s">
        <v>399</v>
      </c>
      <c r="F2165" s="9">
        <v>95</v>
      </c>
      <c r="G2165" s="9">
        <v>1017</v>
      </c>
      <c r="H2165" s="5" t="s">
        <v>21</v>
      </c>
      <c r="I2165" s="5" t="s">
        <v>5583</v>
      </c>
      <c r="J2165" s="12" t="str">
        <f>HYPERLINK("https://www.boe.es/gazeta/dias/1803/11/25/pdfs/GMD-1803-95.pdf#page=5","Abrir facsímil")</f>
        <v>Abrir facsímil</v>
      </c>
      <c r="K2165" s="15" t="s">
        <v>23</v>
      </c>
    </row>
    <row r="2166" spans="1:11" ht="42" customHeight="1">
      <c r="A2166" s="4" t="s">
        <v>5584</v>
      </c>
      <c r="B2166" s="5" t="s">
        <v>5585</v>
      </c>
      <c r="C2166" s="5" t="s">
        <v>80</v>
      </c>
      <c r="D2166" s="5" t="s">
        <v>81</v>
      </c>
      <c r="E2166" s="5" t="s">
        <v>272</v>
      </c>
      <c r="F2166" s="9">
        <v>25</v>
      </c>
      <c r="G2166" s="9">
        <v>267</v>
      </c>
      <c r="H2166" s="5" t="s">
        <v>21</v>
      </c>
      <c r="I2166" s="5" t="s">
        <v>5586</v>
      </c>
      <c r="J2166" s="12" t="str">
        <f>HYPERLINK("https://www.boe.es/gazeta/dias/1803/03/29/pdfs/GMD-1803-25.pdf#page=7","Abrir facsímil")</f>
        <v>Abrir facsímil</v>
      </c>
      <c r="K2166" s="15" t="s">
        <v>23</v>
      </c>
    </row>
    <row r="2167" spans="1:11" ht="42" customHeight="1">
      <c r="A2167" s="4" t="s">
        <v>5587</v>
      </c>
      <c r="B2167" s="5" t="s">
        <v>5588</v>
      </c>
      <c r="C2167" s="5" t="s">
        <v>26</v>
      </c>
      <c r="D2167" s="5" t="s">
        <v>27</v>
      </c>
      <c r="E2167" s="5" t="s">
        <v>214</v>
      </c>
      <c r="F2167" s="9">
        <v>17</v>
      </c>
      <c r="G2167" s="9">
        <v>179</v>
      </c>
      <c r="H2167" s="5" t="s">
        <v>21</v>
      </c>
      <c r="I2167" s="5" t="s">
        <v>5589</v>
      </c>
      <c r="J2167" s="12" t="str">
        <f>HYPERLINK("https://www.boe.es/gazeta/dias/1803/03/01/pdfs/GMD-1803-17.pdf#page=11","Abrir facsímil")</f>
        <v>Abrir facsímil</v>
      </c>
      <c r="K2167" s="15" t="s">
        <v>23</v>
      </c>
    </row>
    <row r="2168" spans="1:11" ht="42" customHeight="1">
      <c r="A2168" s="4" t="s">
        <v>5590</v>
      </c>
      <c r="B2168" s="5" t="s">
        <v>5591</v>
      </c>
      <c r="C2168" s="5" t="s">
        <v>80</v>
      </c>
      <c r="D2168" s="5" t="s">
        <v>81</v>
      </c>
      <c r="E2168" s="5" t="s">
        <v>191</v>
      </c>
      <c r="F2168" s="9">
        <v>34</v>
      </c>
      <c r="G2168" s="9">
        <v>360</v>
      </c>
      <c r="H2168" s="5" t="s">
        <v>21</v>
      </c>
      <c r="I2168" s="5" t="s">
        <v>5592</v>
      </c>
      <c r="J2168" s="12" t="str">
        <f>HYPERLINK("https://www.boe.es/gazeta/dias/1803/04/29/pdfs/GMD-1803-34.pdf#page=8","Abrir facsímil")</f>
        <v>Abrir facsímil</v>
      </c>
      <c r="K2168" s="15" t="s">
        <v>23</v>
      </c>
    </row>
    <row r="2169" spans="1:11" ht="42" customHeight="1">
      <c r="A2169" s="4" t="s">
        <v>5593</v>
      </c>
      <c r="B2169" s="5" t="s">
        <v>5594</v>
      </c>
      <c r="C2169" s="5" t="s">
        <v>26</v>
      </c>
      <c r="D2169" s="5" t="s">
        <v>27</v>
      </c>
      <c r="E2169" s="5" t="s">
        <v>657</v>
      </c>
      <c r="F2169" s="9">
        <v>24</v>
      </c>
      <c r="G2169" s="9">
        <v>256</v>
      </c>
      <c r="H2169" s="5" t="s">
        <v>21</v>
      </c>
      <c r="I2169" s="5" t="s">
        <v>5595</v>
      </c>
      <c r="J2169" s="12" t="str">
        <f>HYPERLINK("https://www.boe.es/gazeta/dias/1803/03/25/pdfs/GMD-1803-24.pdf#page=8","Abrir facsímil")</f>
        <v>Abrir facsímil</v>
      </c>
      <c r="K2169" s="15" t="s">
        <v>23</v>
      </c>
    </row>
    <row r="2170" spans="1:11" ht="42" customHeight="1">
      <c r="A2170" s="4" t="s">
        <v>5596</v>
      </c>
      <c r="B2170" s="5" t="s">
        <v>5597</v>
      </c>
      <c r="C2170" s="5" t="s">
        <v>26</v>
      </c>
      <c r="D2170" s="5" t="s">
        <v>27</v>
      </c>
      <c r="E2170" s="5" t="s">
        <v>361</v>
      </c>
      <c r="F2170" s="9">
        <v>62</v>
      </c>
      <c r="G2170" s="9">
        <v>675</v>
      </c>
      <c r="H2170" s="5" t="s">
        <v>21</v>
      </c>
      <c r="I2170" s="5" t="s">
        <v>5598</v>
      </c>
      <c r="J2170" s="12" t="str">
        <f>HYPERLINK("https://www.boe.es/gazeta/dias/1803/08/05/pdfs/GMD-1803-62.pdf#page=7","Abrir facsímil")</f>
        <v>Abrir facsímil</v>
      </c>
      <c r="K2170" s="15" t="s">
        <v>23</v>
      </c>
    </row>
    <row r="2171" spans="1:11" ht="42" customHeight="1">
      <c r="A2171" s="4" t="s">
        <v>5599</v>
      </c>
      <c r="B2171" s="5" t="s">
        <v>5600</v>
      </c>
      <c r="C2171" s="5" t="s">
        <v>26</v>
      </c>
      <c r="D2171" s="5" t="s">
        <v>27</v>
      </c>
      <c r="E2171" s="5" t="s">
        <v>289</v>
      </c>
      <c r="F2171" s="9">
        <v>38</v>
      </c>
      <c r="G2171" s="9">
        <v>401</v>
      </c>
      <c r="H2171" s="5" t="s">
        <v>21</v>
      </c>
      <c r="I2171" s="5" t="s">
        <v>5601</v>
      </c>
      <c r="J2171" s="12" t="str">
        <f>HYPERLINK("https://www.boe.es/gazeta/dias/1803/05/13/pdfs/GMD-1803-38.pdf#page=9","Abrir facsímil")</f>
        <v>Abrir facsímil</v>
      </c>
      <c r="K2171" s="15" t="s">
        <v>23</v>
      </c>
    </row>
    <row r="2172" spans="1:11" ht="42" customHeight="1">
      <c r="A2172" s="4" t="s">
        <v>5602</v>
      </c>
      <c r="B2172" s="5" t="s">
        <v>5603</v>
      </c>
      <c r="C2172" s="5" t="s">
        <v>26</v>
      </c>
      <c r="D2172" s="5" t="s">
        <v>27</v>
      </c>
      <c r="E2172" s="5" t="s">
        <v>588</v>
      </c>
      <c r="F2172" s="9">
        <v>63</v>
      </c>
      <c r="G2172" s="9">
        <v>687</v>
      </c>
      <c r="H2172" s="5" t="s">
        <v>21</v>
      </c>
      <c r="I2172" s="5" t="s">
        <v>5604</v>
      </c>
      <c r="J2172" s="12" t="str">
        <f>HYPERLINK("https://www.boe.es/gazeta/dias/1803/08/09/pdfs/GMD-1803-63.pdf#page=7","Abrir facsímil")</f>
        <v>Abrir facsímil</v>
      </c>
      <c r="K2172" s="15" t="s">
        <v>23</v>
      </c>
    </row>
    <row r="2173" spans="1:11" ht="42" customHeight="1">
      <c r="A2173" s="4" t="s">
        <v>5605</v>
      </c>
      <c r="B2173" s="5" t="s">
        <v>5606</v>
      </c>
      <c r="C2173" s="5" t="s">
        <v>18</v>
      </c>
      <c r="D2173" s="5" t="s">
        <v>19</v>
      </c>
      <c r="E2173" s="5" t="s">
        <v>178</v>
      </c>
      <c r="F2173" s="9">
        <v>36</v>
      </c>
      <c r="G2173" s="9">
        <v>375</v>
      </c>
      <c r="H2173" s="5" t="s">
        <v>21</v>
      </c>
      <c r="I2173" s="5" t="s">
        <v>5607</v>
      </c>
      <c r="J2173" s="12" t="str">
        <f>HYPERLINK("https://www.boe.es/gazeta/dias/1803/05/06/pdfs/GMD-1803-36.pdf#page=7","Abrir facsímil")</f>
        <v>Abrir facsímil</v>
      </c>
      <c r="K2173" s="15" t="s">
        <v>23</v>
      </c>
    </row>
    <row r="2174" spans="1:11" ht="42" customHeight="1">
      <c r="A2174" s="4" t="s">
        <v>5605</v>
      </c>
      <c r="B2174" s="5" t="s">
        <v>5606</v>
      </c>
      <c r="C2174" s="5" t="s">
        <v>26</v>
      </c>
      <c r="D2174" s="5" t="s">
        <v>27</v>
      </c>
      <c r="E2174" s="5" t="s">
        <v>328</v>
      </c>
      <c r="F2174" s="9">
        <v>54</v>
      </c>
      <c r="G2174" s="9">
        <v>591</v>
      </c>
      <c r="H2174" s="5" t="s">
        <v>21</v>
      </c>
      <c r="I2174" s="5" t="s">
        <v>5608</v>
      </c>
      <c r="J2174" s="12" t="str">
        <f>HYPERLINK("https://www.boe.es/gazeta/dias/1803/07/08/pdfs/GMD-1803-54.pdf#page=11","Abrir facsímil")</f>
        <v>Abrir facsímil</v>
      </c>
      <c r="K2174" s="15" t="s">
        <v>23</v>
      </c>
    </row>
    <row r="2175" spans="1:11" ht="42" customHeight="1">
      <c r="A2175" s="4" t="s">
        <v>5609</v>
      </c>
      <c r="B2175" s="5" t="s">
        <v>5610</v>
      </c>
      <c r="C2175" s="5" t="s">
        <v>26</v>
      </c>
      <c r="D2175" s="5" t="s">
        <v>27</v>
      </c>
      <c r="E2175" s="5" t="s">
        <v>373</v>
      </c>
      <c r="F2175" s="9">
        <v>77</v>
      </c>
      <c r="G2175" s="9">
        <v>833</v>
      </c>
      <c r="H2175" s="5" t="s">
        <v>21</v>
      </c>
      <c r="I2175" s="5" t="s">
        <v>5611</v>
      </c>
      <c r="J2175" s="12" t="str">
        <f>HYPERLINK("https://www.boe.es/gazeta/dias/1803/09/23/pdfs/GMD-1803-77.pdf#page=9","Abrir facsímil")</f>
        <v>Abrir facsímil</v>
      </c>
      <c r="K2175" s="15" t="s">
        <v>23</v>
      </c>
    </row>
    <row r="2176" spans="1:11" ht="42" customHeight="1">
      <c r="A2176" s="4" t="s">
        <v>5612</v>
      </c>
      <c r="B2176" s="5" t="s">
        <v>5613</v>
      </c>
      <c r="C2176" s="5" t="s">
        <v>18</v>
      </c>
      <c r="D2176" s="5" t="s">
        <v>19</v>
      </c>
      <c r="E2176" s="5" t="s">
        <v>88</v>
      </c>
      <c r="F2176" s="9">
        <v>18</v>
      </c>
      <c r="G2176" s="9">
        <v>190</v>
      </c>
      <c r="H2176" s="5" t="s">
        <v>21</v>
      </c>
      <c r="I2176" s="5" t="s">
        <v>5614</v>
      </c>
      <c r="J2176" s="12" t="str">
        <f>HYPERLINK("https://www.boe.es/gazeta/dias/1803/03/04/pdfs/GMD-1803-18.pdf#page=10","Abrir facsímil")</f>
        <v>Abrir facsímil</v>
      </c>
      <c r="K2176" s="15" t="s">
        <v>23</v>
      </c>
    </row>
    <row r="2177" spans="1:11" ht="42" customHeight="1">
      <c r="A2177" s="4" t="s">
        <v>5615</v>
      </c>
      <c r="B2177" s="5" t="s">
        <v>5616</v>
      </c>
      <c r="C2177" s="5" t="s">
        <v>18</v>
      </c>
      <c r="D2177" s="5" t="s">
        <v>19</v>
      </c>
      <c r="E2177" s="5" t="s">
        <v>218</v>
      </c>
      <c r="F2177" s="9">
        <v>19</v>
      </c>
      <c r="G2177" s="9">
        <v>201</v>
      </c>
      <c r="H2177" s="5" t="s">
        <v>21</v>
      </c>
      <c r="I2177" s="5" t="s">
        <v>5617</v>
      </c>
      <c r="J2177" s="12" t="str">
        <f>HYPERLINK("https://www.boe.es/gazeta/dias/1803/03/08/pdfs/GMD-1803-19.pdf#page=9","Abrir facsímil")</f>
        <v>Abrir facsímil</v>
      </c>
      <c r="K2177" s="15" t="s">
        <v>23</v>
      </c>
    </row>
    <row r="2178" spans="1:11" ht="42" customHeight="1">
      <c r="A2178" s="4" t="s">
        <v>5618</v>
      </c>
      <c r="B2178" s="5" t="s">
        <v>5619</v>
      </c>
      <c r="C2178" s="5" t="s">
        <v>26</v>
      </c>
      <c r="D2178" s="5" t="s">
        <v>27</v>
      </c>
      <c r="E2178" s="5" t="s">
        <v>77</v>
      </c>
      <c r="F2178" s="9">
        <v>64</v>
      </c>
      <c r="G2178" s="9">
        <v>698</v>
      </c>
      <c r="H2178" s="5" t="s">
        <v>21</v>
      </c>
      <c r="I2178" s="5" t="s">
        <v>5620</v>
      </c>
      <c r="J2178" s="12" t="str">
        <f>HYPERLINK("https://www.boe.es/gazeta/dias/1803/08/12/pdfs/GMD-1803-64.pdf#page=6","Abrir facsímil")</f>
        <v>Abrir facsímil</v>
      </c>
      <c r="K2178" s="15" t="s">
        <v>23</v>
      </c>
    </row>
    <row r="2179" spans="1:11" ht="42" customHeight="1">
      <c r="A2179" s="4" t="s">
        <v>5621</v>
      </c>
      <c r="B2179" s="5" t="s">
        <v>5622</v>
      </c>
      <c r="C2179" s="5" t="s">
        <v>26</v>
      </c>
      <c r="D2179" s="5" t="s">
        <v>27</v>
      </c>
      <c r="E2179" s="5" t="s">
        <v>657</v>
      </c>
      <c r="F2179" s="9">
        <v>24</v>
      </c>
      <c r="G2179" s="9">
        <v>256</v>
      </c>
      <c r="H2179" s="5" t="s">
        <v>21</v>
      </c>
      <c r="I2179" s="5" t="s">
        <v>5623</v>
      </c>
      <c r="J2179" s="12" t="str">
        <f>HYPERLINK("https://www.boe.es/gazeta/dias/1803/03/25/pdfs/GMD-1803-24.pdf#page=8","Abrir facsímil")</f>
        <v>Abrir facsímil</v>
      </c>
      <c r="K2179" s="15" t="s">
        <v>23</v>
      </c>
    </row>
    <row r="2180" spans="1:11" ht="42" customHeight="1">
      <c r="A2180" s="4" t="s">
        <v>5621</v>
      </c>
      <c r="B2180" s="5" t="s">
        <v>5622</v>
      </c>
      <c r="C2180" s="5" t="s">
        <v>26</v>
      </c>
      <c r="D2180" s="5" t="s">
        <v>27</v>
      </c>
      <c r="E2180" s="5" t="s">
        <v>207</v>
      </c>
      <c r="F2180" s="9">
        <v>27</v>
      </c>
      <c r="G2180" s="9">
        <v>293</v>
      </c>
      <c r="H2180" s="5" t="s">
        <v>21</v>
      </c>
      <c r="I2180" s="5" t="s">
        <v>5624</v>
      </c>
      <c r="J2180" s="12" t="str">
        <f>HYPERLINK("https://www.boe.es/gazeta/dias/1803/04/05/pdfs/GMD-1803-27.pdf#page=9","Abrir facsímil")</f>
        <v>Abrir facsímil</v>
      </c>
      <c r="K2180" s="15" t="s">
        <v>23</v>
      </c>
    </row>
    <row r="2181" spans="1:11" ht="42" customHeight="1">
      <c r="A2181" s="4" t="s">
        <v>5625</v>
      </c>
      <c r="B2181" s="5" t="s">
        <v>5626</v>
      </c>
      <c r="C2181" s="5" t="s">
        <v>18</v>
      </c>
      <c r="D2181" s="5" t="s">
        <v>19</v>
      </c>
      <c r="E2181" s="5" t="s">
        <v>85</v>
      </c>
      <c r="F2181" s="9">
        <v>49</v>
      </c>
      <c r="G2181" s="9">
        <v>523</v>
      </c>
      <c r="H2181" s="5" t="s">
        <v>21</v>
      </c>
      <c r="I2181" s="5" t="s">
        <v>5627</v>
      </c>
      <c r="J2181" s="12" t="str">
        <f>HYPERLINK("https://www.boe.es/gazeta/dias/1803/06/21/pdfs/GMD-1803-49.pdf#page=11","Abrir facsímil")</f>
        <v>Abrir facsímil</v>
      </c>
      <c r="K2181" s="15" t="s">
        <v>23</v>
      </c>
    </row>
    <row r="2182" spans="1:11" ht="42" customHeight="1">
      <c r="A2182" s="4" t="s">
        <v>5628</v>
      </c>
      <c r="B2182" s="5" t="s">
        <v>5629</v>
      </c>
      <c r="C2182" s="5" t="s">
        <v>46</v>
      </c>
      <c r="D2182" s="5" t="s">
        <v>19</v>
      </c>
      <c r="E2182" s="5" t="s">
        <v>85</v>
      </c>
      <c r="F2182" s="9">
        <v>49</v>
      </c>
      <c r="G2182" s="9">
        <v>523</v>
      </c>
      <c r="H2182" s="5" t="s">
        <v>21</v>
      </c>
      <c r="I2182" s="5" t="s">
        <v>5630</v>
      </c>
      <c r="J2182" s="12" t="str">
        <f>HYPERLINK("https://www.boe.es/gazeta/dias/1803/06/21/pdfs/GMD-1803-49.pdf#page=11","Abrir facsímil")</f>
        <v>Abrir facsímil</v>
      </c>
      <c r="K2182" s="15" t="s">
        <v>23</v>
      </c>
    </row>
    <row r="2183" spans="1:11" ht="42" customHeight="1">
      <c r="A2183" s="4" t="s">
        <v>5631</v>
      </c>
      <c r="B2183" s="5" t="s">
        <v>5632</v>
      </c>
      <c r="C2183" s="5" t="s">
        <v>18</v>
      </c>
      <c r="D2183" s="5" t="s">
        <v>19</v>
      </c>
      <c r="E2183" s="5" t="s">
        <v>278</v>
      </c>
      <c r="F2183" s="9">
        <v>46</v>
      </c>
      <c r="G2183" s="9">
        <v>485</v>
      </c>
      <c r="H2183" s="5" t="s">
        <v>21</v>
      </c>
      <c r="I2183" s="5" t="s">
        <v>5633</v>
      </c>
      <c r="J2183" s="12" t="str">
        <f>HYPERLINK("https://www.boe.es/gazeta/dias/1803/06/10/pdfs/GMD-1803-46.pdf#page=9","Abrir facsímil")</f>
        <v>Abrir facsímil</v>
      </c>
      <c r="K2183" s="15" t="s">
        <v>23</v>
      </c>
    </row>
    <row r="2184" spans="1:11" ht="42" customHeight="1">
      <c r="A2184" s="4" t="s">
        <v>5634</v>
      </c>
      <c r="B2184" s="5" t="s">
        <v>5634</v>
      </c>
      <c r="C2184" s="5" t="s">
        <v>40</v>
      </c>
      <c r="D2184" s="5" t="s">
        <v>41</v>
      </c>
      <c r="E2184" s="5" t="s">
        <v>519</v>
      </c>
      <c r="F2184" s="9">
        <v>50</v>
      </c>
      <c r="G2184" s="9">
        <v>540</v>
      </c>
      <c r="H2184" s="5" t="s">
        <v>21</v>
      </c>
      <c r="I2184" s="5" t="s">
        <v>5635</v>
      </c>
      <c r="J2184" s="12" t="str">
        <f>HYPERLINK("https://www.boe.es/gazeta/dias/1803/06/24/pdfs/GMD-1803-50.pdf#page=8","Abrir facsímil")</f>
        <v>Abrir facsímil</v>
      </c>
      <c r="K2184" s="15" t="s">
        <v>23</v>
      </c>
    </row>
    <row r="2185" spans="1:11" ht="42" customHeight="1">
      <c r="A2185" s="4" t="s">
        <v>5636</v>
      </c>
      <c r="B2185" s="5" t="s">
        <v>5637</v>
      </c>
      <c r="C2185" s="5" t="s">
        <v>46</v>
      </c>
      <c r="D2185" s="5" t="s">
        <v>19</v>
      </c>
      <c r="E2185" s="5" t="s">
        <v>609</v>
      </c>
      <c r="F2185" s="9">
        <v>57</v>
      </c>
      <c r="G2185" s="9">
        <v>620</v>
      </c>
      <c r="H2185" s="5" t="s">
        <v>21</v>
      </c>
      <c r="I2185" s="5" t="s">
        <v>5638</v>
      </c>
      <c r="J2185" s="12" t="str">
        <f>HYPERLINK("https://www.boe.es/gazeta/dias/1803/07/19/pdfs/GMD-1803-57.pdf#page=8","Abrir facsímil")</f>
        <v>Abrir facsímil</v>
      </c>
      <c r="K2185" s="15" t="s">
        <v>23</v>
      </c>
    </row>
    <row r="2186" spans="1:11" ht="42" customHeight="1">
      <c r="A2186" s="4" t="s">
        <v>5639</v>
      </c>
      <c r="B2186" s="5" t="s">
        <v>5640</v>
      </c>
      <c r="C2186" s="5" t="s">
        <v>80</v>
      </c>
      <c r="D2186" s="5" t="s">
        <v>81</v>
      </c>
      <c r="E2186" s="5" t="s">
        <v>293</v>
      </c>
      <c r="F2186" s="9">
        <v>45</v>
      </c>
      <c r="G2186" s="9">
        <v>475</v>
      </c>
      <c r="H2186" s="5" t="s">
        <v>21</v>
      </c>
      <c r="I2186" s="5" t="s">
        <v>5641</v>
      </c>
      <c r="J2186" s="12" t="str">
        <f>HYPERLINK("https://www.boe.es/gazeta/dias/1803/06/07/pdfs/GMD-1803-45.pdf#page=11","Abrir facsímil")</f>
        <v>Abrir facsímil</v>
      </c>
      <c r="K2186" s="15" t="s">
        <v>23</v>
      </c>
    </row>
    <row r="2187" spans="1:11" ht="42" customHeight="1">
      <c r="A2187" s="4" t="s">
        <v>5642</v>
      </c>
      <c r="B2187" s="5" t="s">
        <v>5643</v>
      </c>
      <c r="C2187" s="5" t="s">
        <v>18</v>
      </c>
      <c r="D2187" s="5" t="s">
        <v>19</v>
      </c>
      <c r="E2187" s="5" t="s">
        <v>83</v>
      </c>
      <c r="F2187" s="9">
        <v>28</v>
      </c>
      <c r="G2187" s="9">
        <v>303</v>
      </c>
      <c r="H2187" s="5" t="s">
        <v>21</v>
      </c>
      <c r="I2187" s="5" t="s">
        <v>5644</v>
      </c>
      <c r="J2187" s="12" t="str">
        <f>HYPERLINK("https://www.boe.es/gazeta/dias/1803/04/08/pdfs/GMD-1803-28.pdf#page=7","Abrir facsímil")</f>
        <v>Abrir facsímil</v>
      </c>
      <c r="K2187" s="15" t="s">
        <v>23</v>
      </c>
    </row>
    <row r="2188" spans="1:11" ht="42" customHeight="1">
      <c r="A2188" s="4" t="s">
        <v>5645</v>
      </c>
      <c r="B2188" s="5" t="s">
        <v>5646</v>
      </c>
      <c r="C2188" s="5" t="s">
        <v>80</v>
      </c>
      <c r="D2188" s="5" t="s">
        <v>81</v>
      </c>
      <c r="E2188" s="5" t="s">
        <v>609</v>
      </c>
      <c r="F2188" s="9">
        <v>57</v>
      </c>
      <c r="G2188" s="9">
        <v>620</v>
      </c>
      <c r="H2188" s="5" t="s">
        <v>21</v>
      </c>
      <c r="I2188" s="5" t="s">
        <v>5647</v>
      </c>
      <c r="J2188" s="12" t="str">
        <f>HYPERLINK("https://www.boe.es/gazeta/dias/1803/07/19/pdfs/GMD-1803-57.pdf#page=8","Abrir facsímil")</f>
        <v>Abrir facsímil</v>
      </c>
      <c r="K2188" s="15" t="s">
        <v>23</v>
      </c>
    </row>
    <row r="2189" spans="1:11" ht="42" customHeight="1">
      <c r="A2189" s="4" t="s">
        <v>5648</v>
      </c>
      <c r="B2189" s="5" t="s">
        <v>5649</v>
      </c>
      <c r="C2189" s="5" t="s">
        <v>80</v>
      </c>
      <c r="D2189" s="5" t="s">
        <v>81</v>
      </c>
      <c r="E2189" s="5" t="s">
        <v>657</v>
      </c>
      <c r="F2189" s="9">
        <v>24</v>
      </c>
      <c r="G2189" s="9">
        <v>259</v>
      </c>
      <c r="H2189" s="5" t="s">
        <v>21</v>
      </c>
      <c r="I2189" s="5" t="s">
        <v>5650</v>
      </c>
      <c r="J2189" s="12" t="str">
        <f>HYPERLINK("https://www.boe.es/gazeta/dias/1803/03/25/pdfs/GMD-1803-24.pdf#page=11","Abrir facsímil")</f>
        <v>Abrir facsímil</v>
      </c>
      <c r="K2189" s="15" t="s">
        <v>23</v>
      </c>
    </row>
    <row r="2190" spans="1:11" ht="42" customHeight="1">
      <c r="A2190" s="4" t="s">
        <v>5651</v>
      </c>
      <c r="B2190" s="5" t="s">
        <v>5652</v>
      </c>
      <c r="C2190" s="5" t="s">
        <v>26</v>
      </c>
      <c r="D2190" s="5" t="s">
        <v>27</v>
      </c>
      <c r="E2190" s="5" t="s">
        <v>148</v>
      </c>
      <c r="F2190" s="9">
        <v>15</v>
      </c>
      <c r="G2190" s="9">
        <v>158</v>
      </c>
      <c r="H2190" s="5" t="s">
        <v>21</v>
      </c>
      <c r="I2190" s="5" t="s">
        <v>5653</v>
      </c>
      <c r="J2190" s="12" t="str">
        <f>HYPERLINK("https://www.boe.es/gazeta/dias/1803/02/22/pdfs/GMD-1803-15.pdf#page=10","Abrir facsímil")</f>
        <v>Abrir facsímil</v>
      </c>
      <c r="K2190" s="15" t="s">
        <v>23</v>
      </c>
    </row>
    <row r="2191" spans="1:11" ht="42" customHeight="1">
      <c r="A2191" s="4" t="s">
        <v>5654</v>
      </c>
      <c r="B2191" s="5" t="s">
        <v>5655</v>
      </c>
      <c r="C2191" s="5" t="s">
        <v>26</v>
      </c>
      <c r="D2191" s="5" t="s">
        <v>27</v>
      </c>
      <c r="E2191" s="5" t="s">
        <v>258</v>
      </c>
      <c r="F2191" s="9">
        <v>7</v>
      </c>
      <c r="G2191" s="9">
        <v>72</v>
      </c>
      <c r="H2191" s="5" t="s">
        <v>21</v>
      </c>
      <c r="I2191" s="5" t="s">
        <v>5656</v>
      </c>
      <c r="J2191" s="12" t="str">
        <f>HYPERLINK("https://www.boe.es/gazeta/dias/1803/01/25/pdfs/GMD-1803-7.pdf#page=12","Abrir facsímil")</f>
        <v>Abrir facsímil</v>
      </c>
      <c r="K2191" s="15" t="s">
        <v>23</v>
      </c>
    </row>
    <row r="2192" spans="1:11" ht="42" customHeight="1">
      <c r="A2192" s="4" t="s">
        <v>5654</v>
      </c>
      <c r="B2192" s="5" t="s">
        <v>5655</v>
      </c>
      <c r="C2192" s="5" t="s">
        <v>26</v>
      </c>
      <c r="D2192" s="5" t="s">
        <v>27</v>
      </c>
      <c r="E2192" s="5" t="s">
        <v>514</v>
      </c>
      <c r="F2192" s="9">
        <v>42</v>
      </c>
      <c r="G2192" s="9">
        <v>440</v>
      </c>
      <c r="H2192" s="5" t="s">
        <v>21</v>
      </c>
      <c r="I2192" s="5" t="s">
        <v>5657</v>
      </c>
      <c r="J2192" s="12" t="str">
        <f>HYPERLINK("https://www.boe.es/gazeta/dias/1803/05/27/pdfs/GMD-1803-42.pdf#page=8","Abrir facsímil")</f>
        <v>Abrir facsímil</v>
      </c>
      <c r="K2192" s="15" t="s">
        <v>23</v>
      </c>
    </row>
    <row r="2193" spans="1:11" ht="42" customHeight="1">
      <c r="A2193" s="4" t="s">
        <v>5654</v>
      </c>
      <c r="B2193" s="5" t="s">
        <v>5655</v>
      </c>
      <c r="C2193" s="5" t="s">
        <v>26</v>
      </c>
      <c r="D2193" s="5" t="s">
        <v>27</v>
      </c>
      <c r="E2193" s="5" t="s">
        <v>328</v>
      </c>
      <c r="F2193" s="9">
        <v>54</v>
      </c>
      <c r="G2193" s="9">
        <v>591</v>
      </c>
      <c r="H2193" s="5" t="s">
        <v>21</v>
      </c>
      <c r="I2193" s="5" t="s">
        <v>5658</v>
      </c>
      <c r="J2193" s="12" t="str">
        <f>HYPERLINK("https://www.boe.es/gazeta/dias/1803/07/08/pdfs/GMD-1803-54.pdf#page=11","Abrir facsímil")</f>
        <v>Abrir facsímil</v>
      </c>
      <c r="K2193" s="15" t="s">
        <v>23</v>
      </c>
    </row>
    <row r="2194" spans="1:11" ht="42" customHeight="1">
      <c r="A2194" s="4" t="s">
        <v>5654</v>
      </c>
      <c r="B2194" s="5" t="s">
        <v>5655</v>
      </c>
      <c r="C2194" s="5" t="s">
        <v>26</v>
      </c>
      <c r="D2194" s="5" t="s">
        <v>27</v>
      </c>
      <c r="E2194" s="5" t="s">
        <v>36</v>
      </c>
      <c r="F2194" s="9">
        <v>79</v>
      </c>
      <c r="G2194" s="9">
        <v>856</v>
      </c>
      <c r="H2194" s="5" t="s">
        <v>21</v>
      </c>
      <c r="I2194" s="5" t="s">
        <v>5659</v>
      </c>
      <c r="J2194" s="12" t="str">
        <f>HYPERLINK("https://www.boe.es/gazeta/dias/1803/09/30/pdfs/GMD-1803-79.pdf#page=8","Abrir facsímil")</f>
        <v>Abrir facsímil</v>
      </c>
      <c r="K2194" s="15" t="s">
        <v>23</v>
      </c>
    </row>
    <row r="2195" spans="1:11" ht="42" customHeight="1">
      <c r="A2195" s="4" t="s">
        <v>5654</v>
      </c>
      <c r="B2195" s="5" t="s">
        <v>5655</v>
      </c>
      <c r="C2195" s="5" t="s">
        <v>26</v>
      </c>
      <c r="D2195" s="5" t="s">
        <v>27</v>
      </c>
      <c r="E2195" s="5" t="s">
        <v>164</v>
      </c>
      <c r="F2195" s="9">
        <v>84</v>
      </c>
      <c r="G2195" s="9">
        <v>904</v>
      </c>
      <c r="H2195" s="5" t="s">
        <v>21</v>
      </c>
      <c r="I2195" s="5" t="s">
        <v>5660</v>
      </c>
      <c r="J2195" s="12" t="str">
        <f>HYPERLINK("https://www.boe.es/gazeta/dias/1803/10/18/pdfs/GMD-1803-84.pdf#page=8","Abrir facsímil")</f>
        <v>Abrir facsímil</v>
      </c>
      <c r="K2195" s="15" t="s">
        <v>23</v>
      </c>
    </row>
    <row r="2196" spans="1:11" ht="42" customHeight="1">
      <c r="A2196" s="4" t="s">
        <v>5661</v>
      </c>
      <c r="B2196" s="5" t="s">
        <v>5662</v>
      </c>
      <c r="C2196" s="5" t="s">
        <v>26</v>
      </c>
      <c r="D2196" s="5" t="s">
        <v>27</v>
      </c>
      <c r="E2196" s="5" t="s">
        <v>71</v>
      </c>
      <c r="F2196" s="9">
        <v>39</v>
      </c>
      <c r="G2196" s="9">
        <v>412</v>
      </c>
      <c r="H2196" s="5" t="s">
        <v>21</v>
      </c>
      <c r="I2196" s="5" t="s">
        <v>5663</v>
      </c>
      <c r="J2196" s="12" t="str">
        <f>HYPERLINK("https://www.boe.es/gazeta/dias/1803/05/17/pdfs/GMD-1803-39.pdf#page=8","Abrir facsímil")</f>
        <v>Abrir facsímil</v>
      </c>
      <c r="K2196" s="15" t="s">
        <v>23</v>
      </c>
    </row>
    <row r="2197" spans="1:11" ht="42" customHeight="1">
      <c r="A2197" s="4" t="s">
        <v>5661</v>
      </c>
      <c r="B2197" s="5" t="s">
        <v>5662</v>
      </c>
      <c r="C2197" s="5" t="s">
        <v>26</v>
      </c>
      <c r="D2197" s="5" t="s">
        <v>27</v>
      </c>
      <c r="E2197" s="5" t="s">
        <v>514</v>
      </c>
      <c r="F2197" s="9">
        <v>42</v>
      </c>
      <c r="G2197" s="9">
        <v>440</v>
      </c>
      <c r="H2197" s="5" t="s">
        <v>21</v>
      </c>
      <c r="I2197" s="5" t="s">
        <v>5664</v>
      </c>
      <c r="J2197" s="12" t="str">
        <f>HYPERLINK("https://www.boe.es/gazeta/dias/1803/05/27/pdfs/GMD-1803-42.pdf#page=8","Abrir facsímil")</f>
        <v>Abrir facsímil</v>
      </c>
      <c r="K2197" s="15" t="s">
        <v>23</v>
      </c>
    </row>
    <row r="2198" spans="1:11" ht="42" customHeight="1">
      <c r="A2198" s="4" t="s">
        <v>5665</v>
      </c>
      <c r="B2198" s="5" t="s">
        <v>5666</v>
      </c>
      <c r="C2198" s="5" t="s">
        <v>18</v>
      </c>
      <c r="D2198" s="5" t="s">
        <v>19</v>
      </c>
      <c r="E2198" s="5" t="s">
        <v>85</v>
      </c>
      <c r="F2198" s="9">
        <v>49</v>
      </c>
      <c r="G2198" s="9">
        <v>522</v>
      </c>
      <c r="H2198" s="5" t="s">
        <v>21</v>
      </c>
      <c r="I2198" s="5" t="s">
        <v>5667</v>
      </c>
      <c r="J2198" s="12" t="str">
        <f>HYPERLINK("https://www.boe.es/gazeta/dias/1803/06/21/pdfs/GMD-1803-49.pdf#page=10","Abrir facsímil")</f>
        <v>Abrir facsímil</v>
      </c>
      <c r="K2198" s="15" t="s">
        <v>23</v>
      </c>
    </row>
    <row r="2199" spans="1:11" ht="42" customHeight="1">
      <c r="A2199" s="4" t="s">
        <v>5668</v>
      </c>
      <c r="B2199" s="5" t="s">
        <v>5669</v>
      </c>
      <c r="C2199" s="5" t="s">
        <v>26</v>
      </c>
      <c r="D2199" s="5" t="s">
        <v>27</v>
      </c>
      <c r="E2199" s="5" t="s">
        <v>156</v>
      </c>
      <c r="F2199" s="9">
        <v>2</v>
      </c>
      <c r="G2199" s="9">
        <v>17</v>
      </c>
      <c r="H2199" s="5" t="s">
        <v>21</v>
      </c>
      <c r="I2199" s="5" t="s">
        <v>5670</v>
      </c>
      <c r="J2199" s="12" t="str">
        <f>HYPERLINK("https://www.boe.es/gazeta/dias/1803/01/07/pdfs/GMD-1803-2.pdf#page=9","Abrir facsímil")</f>
        <v>Abrir facsímil</v>
      </c>
      <c r="K2199" s="15" t="s">
        <v>23</v>
      </c>
    </row>
    <row r="2200" spans="1:11" ht="42" customHeight="1">
      <c r="A2200" s="4" t="s">
        <v>5671</v>
      </c>
      <c r="B2200" s="5" t="s">
        <v>5672</v>
      </c>
      <c r="C2200" s="5" t="s">
        <v>26</v>
      </c>
      <c r="D2200" s="5" t="s">
        <v>27</v>
      </c>
      <c r="E2200" s="5" t="s">
        <v>71</v>
      </c>
      <c r="F2200" s="9">
        <v>39</v>
      </c>
      <c r="G2200" s="9">
        <v>412</v>
      </c>
      <c r="H2200" s="5" t="s">
        <v>21</v>
      </c>
      <c r="I2200" s="5" t="s">
        <v>5673</v>
      </c>
      <c r="J2200" s="12" t="str">
        <f>HYPERLINK("https://www.boe.es/gazeta/dias/1803/05/17/pdfs/GMD-1803-39.pdf#page=8","Abrir facsímil")</f>
        <v>Abrir facsímil</v>
      </c>
      <c r="K2200" s="15" t="s">
        <v>23</v>
      </c>
    </row>
    <row r="2201" spans="1:11" ht="42" customHeight="1">
      <c r="A2201" s="4" t="s">
        <v>5674</v>
      </c>
      <c r="B2201" s="5" t="s">
        <v>5675</v>
      </c>
      <c r="C2201" s="5" t="s">
        <v>80</v>
      </c>
      <c r="D2201" s="5" t="s">
        <v>81</v>
      </c>
      <c r="E2201" s="5" t="s">
        <v>910</v>
      </c>
      <c r="F2201" s="9">
        <v>66</v>
      </c>
      <c r="G2201" s="9">
        <v>720</v>
      </c>
      <c r="H2201" s="5" t="s">
        <v>21</v>
      </c>
      <c r="I2201" s="5" t="s">
        <v>5676</v>
      </c>
      <c r="J2201" s="12" t="str">
        <f>HYPERLINK("https://www.boe.es/gazeta/dias/1803/08/19/pdfs/GMD-1803-66.pdf#page=8","Abrir facsímil")</f>
        <v>Abrir facsímil</v>
      </c>
      <c r="K2201" s="15" t="s">
        <v>23</v>
      </c>
    </row>
    <row r="2202" spans="1:11" ht="42" customHeight="1">
      <c r="A2202" s="4" t="s">
        <v>5677</v>
      </c>
      <c r="B2202" s="5" t="s">
        <v>5678</v>
      </c>
      <c r="C2202" s="5" t="s">
        <v>26</v>
      </c>
      <c r="D2202" s="5" t="s">
        <v>27</v>
      </c>
      <c r="E2202" s="5" t="s">
        <v>211</v>
      </c>
      <c r="F2202" s="9">
        <v>71</v>
      </c>
      <c r="G2202" s="9">
        <v>777</v>
      </c>
      <c r="H2202" s="5" t="s">
        <v>21</v>
      </c>
      <c r="I2202" s="5" t="s">
        <v>5679</v>
      </c>
      <c r="J2202" s="12" t="str">
        <f>HYPERLINK("https://www.boe.es/gazeta/dias/1803/09/06/pdfs/GMD-1803-71.pdf#page=9","Abrir facsímil")</f>
        <v>Abrir facsímil</v>
      </c>
      <c r="K2202" s="15" t="s">
        <v>23</v>
      </c>
    </row>
    <row r="2203" spans="1:11" ht="42" customHeight="1">
      <c r="A2203" s="4" t="s">
        <v>5677</v>
      </c>
      <c r="B2203" s="5" t="s">
        <v>5678</v>
      </c>
      <c r="C2203" s="5" t="s">
        <v>40</v>
      </c>
      <c r="D2203" s="5" t="s">
        <v>41</v>
      </c>
      <c r="E2203" s="5" t="s">
        <v>109</v>
      </c>
      <c r="F2203" s="9">
        <v>102</v>
      </c>
      <c r="G2203" s="9">
        <v>1095</v>
      </c>
      <c r="H2203" s="5" t="s">
        <v>21</v>
      </c>
      <c r="I2203" s="5" t="s">
        <v>5680</v>
      </c>
      <c r="J2203" s="12" t="str">
        <f>HYPERLINK("https://www.boe.es/gazeta/dias/1803/12/20/pdfs/GMD-1803-102.pdf#page=7","Abrir facsímil")</f>
        <v>Abrir facsímil</v>
      </c>
      <c r="K2203" s="15" t="s">
        <v>23</v>
      </c>
    </row>
    <row r="2204" spans="1:11" ht="42" customHeight="1">
      <c r="A2204" s="4" t="s">
        <v>5681</v>
      </c>
      <c r="B2204" s="5" t="s">
        <v>5682</v>
      </c>
      <c r="C2204" s="5" t="s">
        <v>26</v>
      </c>
      <c r="D2204" s="5" t="s">
        <v>27</v>
      </c>
      <c r="E2204" s="5" t="s">
        <v>148</v>
      </c>
      <c r="F2204" s="9">
        <v>15</v>
      </c>
      <c r="G2204" s="9">
        <v>158</v>
      </c>
      <c r="H2204" s="5" t="s">
        <v>21</v>
      </c>
      <c r="I2204" s="5" t="s">
        <v>5683</v>
      </c>
      <c r="J2204" s="12" t="str">
        <f>HYPERLINK("https://www.boe.es/gazeta/dias/1803/02/22/pdfs/GMD-1803-15.pdf#page=10","Abrir facsímil")</f>
        <v>Abrir facsímil</v>
      </c>
      <c r="K2204" s="15" t="s">
        <v>23</v>
      </c>
    </row>
    <row r="2205" spans="1:11" ht="42" customHeight="1">
      <c r="A2205" s="4" t="s">
        <v>5681</v>
      </c>
      <c r="B2205" s="5" t="s">
        <v>5682</v>
      </c>
      <c r="C2205" s="5" t="s">
        <v>26</v>
      </c>
      <c r="D2205" s="5" t="s">
        <v>27</v>
      </c>
      <c r="E2205" s="5" t="s">
        <v>1846</v>
      </c>
      <c r="F2205" s="9">
        <v>89</v>
      </c>
      <c r="G2205" s="9">
        <v>958</v>
      </c>
      <c r="H2205" s="5" t="s">
        <v>21</v>
      </c>
      <c r="I2205" s="5" t="s">
        <v>5684</v>
      </c>
      <c r="J2205" s="12" t="str">
        <f>HYPERLINK("https://www.boe.es/gazeta/dias/1803/11/04/pdfs/GMD-1803-89.pdf#page=6","Abrir facsímil")</f>
        <v>Abrir facsímil</v>
      </c>
      <c r="K2205" s="15" t="s">
        <v>23</v>
      </c>
    </row>
    <row r="2206" spans="1:11" ht="42" customHeight="1">
      <c r="A2206" s="4" t="s">
        <v>5685</v>
      </c>
      <c r="B2206" s="5" t="s">
        <v>5686</v>
      </c>
      <c r="C2206" s="5" t="s">
        <v>18</v>
      </c>
      <c r="D2206" s="5" t="s">
        <v>19</v>
      </c>
      <c r="E2206" s="5" t="s">
        <v>417</v>
      </c>
      <c r="F2206" s="9">
        <v>72</v>
      </c>
      <c r="G2206" s="9">
        <v>786</v>
      </c>
      <c r="H2206" s="5" t="s">
        <v>21</v>
      </c>
      <c r="I2206" s="5" t="s">
        <v>5687</v>
      </c>
      <c r="J2206" s="12" t="str">
        <f>HYPERLINK("https://www.boe.es/gazeta/dias/1803/09/09/pdfs/GMD-1803-72.pdf#page=6","Abrir facsímil")</f>
        <v>Abrir facsímil</v>
      </c>
      <c r="K2206" s="15" t="s">
        <v>23</v>
      </c>
    </row>
    <row r="2207" spans="1:11" ht="42" customHeight="1">
      <c r="A2207" s="4" t="s">
        <v>5688</v>
      </c>
      <c r="B2207" s="5" t="s">
        <v>5689</v>
      </c>
      <c r="C2207" s="5" t="s">
        <v>26</v>
      </c>
      <c r="D2207" s="5" t="s">
        <v>27</v>
      </c>
      <c r="E2207" s="5" t="s">
        <v>657</v>
      </c>
      <c r="F2207" s="9">
        <v>24</v>
      </c>
      <c r="G2207" s="9">
        <v>256</v>
      </c>
      <c r="H2207" s="5" t="s">
        <v>21</v>
      </c>
      <c r="I2207" s="5" t="s">
        <v>5690</v>
      </c>
      <c r="J2207" s="12" t="str">
        <f>HYPERLINK("https://www.boe.es/gazeta/dias/1803/03/25/pdfs/GMD-1803-24.pdf#page=8","Abrir facsímil")</f>
        <v>Abrir facsímil</v>
      </c>
      <c r="K2207" s="15" t="s">
        <v>23</v>
      </c>
    </row>
    <row r="2208" spans="1:11" ht="42" customHeight="1">
      <c r="A2208" s="4" t="s">
        <v>5688</v>
      </c>
      <c r="B2208" s="5" t="s">
        <v>5689</v>
      </c>
      <c r="C2208" s="5" t="s">
        <v>26</v>
      </c>
      <c r="D2208" s="5" t="s">
        <v>27</v>
      </c>
      <c r="E2208" s="5" t="s">
        <v>207</v>
      </c>
      <c r="F2208" s="9">
        <v>27</v>
      </c>
      <c r="G2208" s="9">
        <v>293</v>
      </c>
      <c r="H2208" s="5" t="s">
        <v>21</v>
      </c>
      <c r="I2208" s="5" t="s">
        <v>5691</v>
      </c>
      <c r="J2208" s="12" t="str">
        <f>HYPERLINK("https://www.boe.es/gazeta/dias/1803/04/05/pdfs/GMD-1803-27.pdf#page=9","Abrir facsímil")</f>
        <v>Abrir facsímil</v>
      </c>
      <c r="K2208" s="15" t="s">
        <v>23</v>
      </c>
    </row>
    <row r="2209" spans="1:11" ht="42" customHeight="1">
      <c r="A2209" s="4" t="s">
        <v>5692</v>
      </c>
      <c r="B2209" s="5" t="s">
        <v>5693</v>
      </c>
      <c r="C2209" s="5" t="s">
        <v>26</v>
      </c>
      <c r="D2209" s="5" t="s">
        <v>27</v>
      </c>
      <c r="E2209" s="5" t="s">
        <v>278</v>
      </c>
      <c r="F2209" s="9">
        <v>46</v>
      </c>
      <c r="G2209" s="9">
        <v>486</v>
      </c>
      <c r="H2209" s="5" t="s">
        <v>21</v>
      </c>
      <c r="I2209" s="5" t="s">
        <v>5694</v>
      </c>
      <c r="J2209" s="12" t="str">
        <f>HYPERLINK("https://www.boe.es/gazeta/dias/1803/06/10/pdfs/GMD-1803-46.pdf#page=10","Abrir facsímil")</f>
        <v>Abrir facsímil</v>
      </c>
      <c r="K2209" s="15" t="s">
        <v>23</v>
      </c>
    </row>
    <row r="2210" spans="1:11" ht="42" customHeight="1">
      <c r="A2210" s="4" t="s">
        <v>5695</v>
      </c>
      <c r="B2210" s="5" t="s">
        <v>5695</v>
      </c>
      <c r="C2210" s="5" t="s">
        <v>51</v>
      </c>
      <c r="D2210" s="5" t="s">
        <v>52</v>
      </c>
      <c r="E2210" s="5" t="s">
        <v>102</v>
      </c>
      <c r="F2210" s="9">
        <v>31</v>
      </c>
      <c r="G2210" s="9">
        <v>325</v>
      </c>
      <c r="H2210" s="5" t="s">
        <v>21</v>
      </c>
      <c r="I2210" s="5" t="s">
        <v>5696</v>
      </c>
      <c r="J2210" s="12" t="str">
        <f>HYPERLINK("https://www.boe.es/gazeta/dias/1803/04/19/pdfs/GMD-1803-31.pdf#page=5","Abrir facsímil")</f>
        <v>Abrir facsímil</v>
      </c>
      <c r="K2210" s="15" t="s">
        <v>23</v>
      </c>
    </row>
    <row r="2211" spans="1:11" ht="42" customHeight="1">
      <c r="A2211" s="4" t="s">
        <v>5697</v>
      </c>
      <c r="B2211" s="5" t="s">
        <v>5698</v>
      </c>
      <c r="C2211" s="5" t="s">
        <v>26</v>
      </c>
      <c r="D2211" s="5" t="s">
        <v>27</v>
      </c>
      <c r="E2211" s="5" t="s">
        <v>285</v>
      </c>
      <c r="F2211" s="9">
        <v>5</v>
      </c>
      <c r="G2211" s="9">
        <v>46</v>
      </c>
      <c r="H2211" s="5" t="s">
        <v>21</v>
      </c>
      <c r="I2211" s="5" t="s">
        <v>5699</v>
      </c>
      <c r="J2211" s="12" t="str">
        <f>HYPERLINK("https://www.boe.es/gazeta/dias/1803/01/18/pdfs/GMD-1803-5.pdf#page=10","Abrir facsímil")</f>
        <v>Abrir facsímil</v>
      </c>
      <c r="K2211" s="15" t="s">
        <v>23</v>
      </c>
    </row>
    <row r="2212" spans="1:11" ht="42" customHeight="1">
      <c r="A2212" s="4" t="s">
        <v>5700</v>
      </c>
      <c r="B2212" s="5" t="s">
        <v>5701</v>
      </c>
      <c r="C2212" s="5" t="s">
        <v>40</v>
      </c>
      <c r="D2212" s="5" t="s">
        <v>41</v>
      </c>
      <c r="E2212" s="5" t="s">
        <v>75</v>
      </c>
      <c r="F2212" s="9">
        <v>56</v>
      </c>
      <c r="G2212" s="9">
        <v>607</v>
      </c>
      <c r="H2212" s="5" t="s">
        <v>21</v>
      </c>
      <c r="I2212" s="5" t="s">
        <v>5702</v>
      </c>
      <c r="J2212" s="12" t="str">
        <f>HYPERLINK("https://www.boe.es/gazeta/dias/1803/07/15/pdfs/GMD-1803-56.pdf#page=3","Abrir facsímil")</f>
        <v>Abrir facsímil</v>
      </c>
      <c r="K2212" s="15" t="s">
        <v>23</v>
      </c>
    </row>
    <row r="2213" spans="1:11" ht="42" customHeight="1">
      <c r="A2213" s="4" t="s">
        <v>5703</v>
      </c>
      <c r="B2213" s="5" t="s">
        <v>5704</v>
      </c>
      <c r="C2213" s="5" t="s">
        <v>80</v>
      </c>
      <c r="D2213" s="5" t="s">
        <v>81</v>
      </c>
      <c r="E2213" s="5" t="s">
        <v>784</v>
      </c>
      <c r="F2213" s="9">
        <v>86</v>
      </c>
      <c r="G2213" s="9">
        <v>931</v>
      </c>
      <c r="H2213" s="5" t="s">
        <v>21</v>
      </c>
      <c r="I2213" s="5" t="s">
        <v>5705</v>
      </c>
      <c r="J2213" s="12" t="str">
        <f>HYPERLINK("https://www.boe.es/gazeta/dias/1803/10/25/pdfs/GMD-1803-86.pdf#page=11","Abrir facsímil")</f>
        <v>Abrir facsímil</v>
      </c>
      <c r="K2213" s="15" t="s">
        <v>23</v>
      </c>
    </row>
    <row r="2214" spans="1:11" ht="42" customHeight="1">
      <c r="A2214" s="4" t="s">
        <v>5706</v>
      </c>
      <c r="B2214" s="5" t="s">
        <v>5707</v>
      </c>
      <c r="C2214" s="5" t="s">
        <v>80</v>
      </c>
      <c r="D2214" s="5" t="s">
        <v>81</v>
      </c>
      <c r="E2214" s="5" t="s">
        <v>77</v>
      </c>
      <c r="F2214" s="9">
        <v>64</v>
      </c>
      <c r="G2214" s="9">
        <v>700</v>
      </c>
      <c r="H2214" s="5" t="s">
        <v>21</v>
      </c>
      <c r="I2214" s="5" t="s">
        <v>5708</v>
      </c>
      <c r="J2214" s="12" t="str">
        <f>HYPERLINK("https://www.boe.es/gazeta/dias/1803/08/12/pdfs/GMD-1803-64.pdf#page=8","Abrir facsímil")</f>
        <v>Abrir facsímil</v>
      </c>
      <c r="K2214" s="15" t="s">
        <v>23</v>
      </c>
    </row>
    <row r="2215" spans="1:11" ht="42" customHeight="1">
      <c r="A2215" s="4" t="s">
        <v>5709</v>
      </c>
      <c r="B2215" s="5" t="s">
        <v>5710</v>
      </c>
      <c r="C2215" s="5" t="s">
        <v>26</v>
      </c>
      <c r="D2215" s="5" t="s">
        <v>27</v>
      </c>
      <c r="E2215" s="5" t="s">
        <v>657</v>
      </c>
      <c r="F2215" s="9">
        <v>24</v>
      </c>
      <c r="G2215" s="9">
        <v>256</v>
      </c>
      <c r="H2215" s="5" t="s">
        <v>21</v>
      </c>
      <c r="I2215" s="5" t="s">
        <v>5711</v>
      </c>
      <c r="J2215" s="12" t="str">
        <f>HYPERLINK("https://www.boe.es/gazeta/dias/1803/03/25/pdfs/GMD-1803-24.pdf#page=8","Abrir facsímil")</f>
        <v>Abrir facsímil</v>
      </c>
      <c r="K2215" s="15" t="s">
        <v>23</v>
      </c>
    </row>
    <row r="2216" spans="1:11" ht="42" customHeight="1">
      <c r="A2216" s="4" t="s">
        <v>5712</v>
      </c>
      <c r="B2216" s="5" t="s">
        <v>5712</v>
      </c>
      <c r="C2216" s="5" t="s">
        <v>26</v>
      </c>
      <c r="D2216" s="5" t="s">
        <v>27</v>
      </c>
      <c r="E2216" s="5" t="s">
        <v>300</v>
      </c>
      <c r="F2216" s="9">
        <v>96</v>
      </c>
      <c r="G2216" s="9">
        <v>1031</v>
      </c>
      <c r="H2216" s="5" t="s">
        <v>21</v>
      </c>
      <c r="I2216" s="5" t="s">
        <v>5713</v>
      </c>
      <c r="J2216" s="12" t="str">
        <f>HYPERLINK("https://www.boe.es/gazeta/dias/1803/11/29/pdfs/GMD-1803-96.pdf#page=7","Abrir facsímil")</f>
        <v>Abrir facsímil</v>
      </c>
      <c r="K2216" s="15" t="s">
        <v>23</v>
      </c>
    </row>
    <row r="2217" spans="1:11" ht="42" customHeight="1">
      <c r="A2217" s="4" t="s">
        <v>5714</v>
      </c>
      <c r="B2217" s="5" t="s">
        <v>5714</v>
      </c>
      <c r="C2217" s="5" t="s">
        <v>26</v>
      </c>
      <c r="D2217" s="5" t="s">
        <v>27</v>
      </c>
      <c r="E2217" s="5" t="s">
        <v>20</v>
      </c>
      <c r="F2217" s="9">
        <v>97</v>
      </c>
      <c r="G2217" s="9">
        <v>1041</v>
      </c>
      <c r="H2217" s="5" t="s">
        <v>21</v>
      </c>
      <c r="I2217" s="5" t="s">
        <v>5715</v>
      </c>
      <c r="J2217" s="12" t="str">
        <f>HYPERLINK("https://www.boe.es/gazeta/dias/1803/12/02/pdfs/GMD-1803-97.pdf#page=5","Abrir facsímil")</f>
        <v>Abrir facsímil</v>
      </c>
      <c r="K2217" s="15" t="s">
        <v>23</v>
      </c>
    </row>
    <row r="2218" spans="1:11" ht="42" customHeight="1">
      <c r="A2218" s="4" t="s">
        <v>5716</v>
      </c>
      <c r="B2218" s="5" t="s">
        <v>5716</v>
      </c>
      <c r="C2218" s="5" t="s">
        <v>51</v>
      </c>
      <c r="D2218" s="5" t="s">
        <v>52</v>
      </c>
      <c r="E2218" s="5" t="s">
        <v>20</v>
      </c>
      <c r="F2218" s="9">
        <v>97</v>
      </c>
      <c r="G2218" s="9">
        <v>1041</v>
      </c>
      <c r="H2218" s="5" t="s">
        <v>21</v>
      </c>
      <c r="I2218" s="5" t="s">
        <v>5717</v>
      </c>
      <c r="J2218" s="12" t="str">
        <f>HYPERLINK("https://www.boe.es/gazeta/dias/1803/12/02/pdfs/GMD-1803-97.pdf#page=5","Abrir facsímil")</f>
        <v>Abrir facsímil</v>
      </c>
      <c r="K2218" s="15" t="s">
        <v>23</v>
      </c>
    </row>
    <row r="2219" spans="1:11" ht="42" customHeight="1">
      <c r="A2219" s="4" t="s">
        <v>5718</v>
      </c>
      <c r="B2219" s="5" t="s">
        <v>5718</v>
      </c>
      <c r="C2219" s="5" t="s">
        <v>874</v>
      </c>
      <c r="D2219" s="5" t="s">
        <v>875</v>
      </c>
      <c r="E2219" s="5" t="s">
        <v>480</v>
      </c>
      <c r="F2219" s="9">
        <v>87</v>
      </c>
      <c r="G2219" s="9" t="s">
        <v>876</v>
      </c>
      <c r="H2219" s="5" t="s">
        <v>21</v>
      </c>
      <c r="I2219" s="5" t="s">
        <v>5719</v>
      </c>
      <c r="J2219" s="12" t="str">
        <f>HYPERLINK("https://www.boe.es/gazeta/dias/1803/10/28/pdfs/GMD-C-1803-87.pdf#page=1","Abrir facsímil")</f>
        <v>Abrir facsímil</v>
      </c>
      <c r="K2219" s="15" t="s">
        <v>23</v>
      </c>
    </row>
    <row r="2220" spans="1:11" ht="42" customHeight="1">
      <c r="A2220" s="4" t="s">
        <v>5720</v>
      </c>
      <c r="B2220" s="5" t="s">
        <v>5720</v>
      </c>
      <c r="C2220" s="5" t="s">
        <v>26</v>
      </c>
      <c r="D2220" s="5" t="s">
        <v>27</v>
      </c>
      <c r="E2220" s="5" t="s">
        <v>477</v>
      </c>
      <c r="F2220" s="9">
        <v>48</v>
      </c>
      <c r="G2220" s="9">
        <v>502</v>
      </c>
      <c r="H2220" s="5" t="s">
        <v>21</v>
      </c>
      <c r="I2220" s="5" t="s">
        <v>5721</v>
      </c>
      <c r="J2220" s="12" t="str">
        <f>HYPERLINK("https://www.boe.es/gazeta/dias/1803/06/17/pdfs/GMD-1803-48.pdf#page=2","Abrir facsímil")</f>
        <v>Abrir facsímil</v>
      </c>
      <c r="K2220" s="15" t="s">
        <v>23</v>
      </c>
    </row>
    <row r="2221" spans="1:11" ht="42" customHeight="1">
      <c r="A2221" s="4" t="s">
        <v>5722</v>
      </c>
      <c r="B2221" s="5" t="s">
        <v>5722</v>
      </c>
      <c r="C2221" s="5" t="s">
        <v>40</v>
      </c>
      <c r="D2221" s="5" t="s">
        <v>41</v>
      </c>
      <c r="E2221" s="5" t="s">
        <v>75</v>
      </c>
      <c r="F2221" s="9">
        <v>56</v>
      </c>
      <c r="G2221" s="9">
        <v>607</v>
      </c>
      <c r="H2221" s="5" t="s">
        <v>21</v>
      </c>
      <c r="I2221" s="5" t="s">
        <v>5723</v>
      </c>
      <c r="J2221" s="12" t="str">
        <f>HYPERLINK("https://www.boe.es/gazeta/dias/1803/07/15/pdfs/GMD-1803-56.pdf#page=3","Abrir facsímil")</f>
        <v>Abrir facsímil</v>
      </c>
      <c r="K2221" s="15" t="s">
        <v>23</v>
      </c>
    </row>
    <row r="2222" spans="1:11" ht="42" customHeight="1">
      <c r="A2222" s="4" t="s">
        <v>5724</v>
      </c>
      <c r="B2222" s="5" t="s">
        <v>5725</v>
      </c>
      <c r="C2222" s="5" t="s">
        <v>80</v>
      </c>
      <c r="D2222" s="5" t="s">
        <v>81</v>
      </c>
      <c r="E2222" s="5" t="s">
        <v>407</v>
      </c>
      <c r="F2222" s="9">
        <v>82</v>
      </c>
      <c r="G2222" s="9">
        <v>887</v>
      </c>
      <c r="H2222" s="5" t="s">
        <v>21</v>
      </c>
      <c r="I2222" s="5" t="s">
        <v>5726</v>
      </c>
      <c r="J2222" s="12" t="str">
        <f>HYPERLINK("https://www.boe.es/gazeta/dias/1803/10/11/pdfs/GMD-1803-82.pdf#page=11","Abrir facsímil")</f>
        <v>Abrir facsímil</v>
      </c>
      <c r="K2222" s="15" t="s">
        <v>23</v>
      </c>
    </row>
    <row r="2223" spans="1:11" ht="42" customHeight="1">
      <c r="A2223" s="4" t="s">
        <v>5727</v>
      </c>
      <c r="B2223" s="5" t="s">
        <v>5727</v>
      </c>
      <c r="C2223" s="5" t="s">
        <v>26</v>
      </c>
      <c r="D2223" s="5" t="s">
        <v>27</v>
      </c>
      <c r="E2223" s="5" t="s">
        <v>272</v>
      </c>
      <c r="F2223" s="9">
        <v>25</v>
      </c>
      <c r="G2223" s="9">
        <v>265</v>
      </c>
      <c r="H2223" s="5" t="s">
        <v>21</v>
      </c>
      <c r="I2223" s="5" t="s">
        <v>5728</v>
      </c>
      <c r="J2223" s="12" t="str">
        <f>HYPERLINK("https://www.boe.es/gazeta/dias/1803/03/29/pdfs/GMD-1803-25.pdf#page=5","Abrir facsímil")</f>
        <v>Abrir facsímil</v>
      </c>
      <c r="K2223" s="15" t="s">
        <v>23</v>
      </c>
    </row>
    <row r="2224" spans="1:11" ht="42" customHeight="1">
      <c r="A2224" s="4" t="s">
        <v>5729</v>
      </c>
      <c r="B2224" s="5" t="s">
        <v>5729</v>
      </c>
      <c r="C2224" s="5" t="s">
        <v>40</v>
      </c>
      <c r="D2224" s="5" t="s">
        <v>41</v>
      </c>
      <c r="E2224" s="5" t="s">
        <v>256</v>
      </c>
      <c r="F2224" s="9">
        <v>1</v>
      </c>
      <c r="G2224" s="9">
        <v>3</v>
      </c>
      <c r="H2224" s="5" t="s">
        <v>21</v>
      </c>
      <c r="I2224" s="5" t="s">
        <v>5730</v>
      </c>
      <c r="J2224" s="12" t="str">
        <f>HYPERLINK("https://www.boe.es/gazeta/dias/1803/01/04/pdfs/GMD-1803-1.pdf#page=3","Abrir facsímil")</f>
        <v>Abrir facsímil</v>
      </c>
      <c r="K2224" s="15" t="s">
        <v>23</v>
      </c>
    </row>
    <row r="2225" spans="1:11" ht="42" customHeight="1">
      <c r="A2225" s="4" t="s">
        <v>5729</v>
      </c>
      <c r="B2225" s="5" t="s">
        <v>5729</v>
      </c>
      <c r="C2225" s="5" t="s">
        <v>40</v>
      </c>
      <c r="D2225" s="5" t="s">
        <v>41</v>
      </c>
      <c r="E2225" s="5" t="s">
        <v>250</v>
      </c>
      <c r="F2225" s="9">
        <v>4</v>
      </c>
      <c r="G2225" s="9">
        <v>31</v>
      </c>
      <c r="H2225" s="5" t="s">
        <v>21</v>
      </c>
      <c r="I2225" s="5" t="s">
        <v>5731</v>
      </c>
      <c r="J2225" s="12" t="str">
        <f>HYPERLINK("https://www.boe.es/gazeta/dias/1803/01/14/pdfs/GMD-1803-4.pdf#page=3","Abrir facsímil")</f>
        <v>Abrir facsímil</v>
      </c>
      <c r="K2225" s="15" t="s">
        <v>23</v>
      </c>
    </row>
    <row r="2226" spans="1:11" ht="42" customHeight="1">
      <c r="A2226" s="4" t="s">
        <v>5729</v>
      </c>
      <c r="B2226" s="5" t="s">
        <v>5729</v>
      </c>
      <c r="C2226" s="5" t="s">
        <v>51</v>
      </c>
      <c r="D2226" s="5" t="s">
        <v>52</v>
      </c>
      <c r="E2226" s="5" t="s">
        <v>340</v>
      </c>
      <c r="F2226" s="9">
        <v>55</v>
      </c>
      <c r="G2226" s="9">
        <v>599</v>
      </c>
      <c r="H2226" s="5" t="s">
        <v>21</v>
      </c>
      <c r="I2226" s="5" t="s">
        <v>5732</v>
      </c>
      <c r="J2226" s="12" t="str">
        <f>HYPERLINK("https://www.boe.es/gazeta/dias/1803/07/12/pdfs/GMD-1803-55.pdf#page=7","Abrir facsímil")</f>
        <v>Abrir facsímil</v>
      </c>
      <c r="K2226" s="15" t="s">
        <v>23</v>
      </c>
    </row>
    <row r="2227" spans="1:11" ht="42" customHeight="1">
      <c r="A2227" s="4" t="s">
        <v>5733</v>
      </c>
      <c r="B2227" s="5" t="s">
        <v>5734</v>
      </c>
      <c r="C2227" s="5" t="s">
        <v>51</v>
      </c>
      <c r="D2227" s="5" t="s">
        <v>52</v>
      </c>
      <c r="E2227" s="5" t="s">
        <v>340</v>
      </c>
      <c r="F2227" s="9">
        <v>55</v>
      </c>
      <c r="G2227" s="9">
        <v>598</v>
      </c>
      <c r="H2227" s="5" t="s">
        <v>21</v>
      </c>
      <c r="I2227" s="5" t="s">
        <v>5735</v>
      </c>
      <c r="J2227" s="12" t="str">
        <f>HYPERLINK("https://www.boe.es/gazeta/dias/1803/07/12/pdfs/GMD-1803-55.pdf#page=6","Abrir facsímil")</f>
        <v>Abrir facsímil</v>
      </c>
      <c r="K2227" s="15" t="s">
        <v>23</v>
      </c>
    </row>
    <row r="2228" spans="1:11" ht="42" customHeight="1">
      <c r="A2228" s="4" t="s">
        <v>5736</v>
      </c>
      <c r="B2228" s="5" t="s">
        <v>5737</v>
      </c>
      <c r="C2228" s="5" t="s">
        <v>40</v>
      </c>
      <c r="D2228" s="5" t="s">
        <v>41</v>
      </c>
      <c r="E2228" s="5" t="s">
        <v>619</v>
      </c>
      <c r="F2228" s="9">
        <v>53</v>
      </c>
      <c r="G2228" s="9">
        <v>572</v>
      </c>
      <c r="H2228" s="5" t="s">
        <v>21</v>
      </c>
      <c r="I2228" s="5" t="s">
        <v>5738</v>
      </c>
      <c r="J2228" s="12" t="str">
        <f>HYPERLINK("https://www.boe.es/gazeta/dias/1803/07/05/pdfs/GMD-1803-53.pdf#page=4","Abrir facsímil")</f>
        <v>Abrir facsímil</v>
      </c>
      <c r="K2228" s="15" t="s">
        <v>23</v>
      </c>
    </row>
    <row r="2229" spans="1:11" ht="42" customHeight="1">
      <c r="A2229" s="4" t="s">
        <v>5736</v>
      </c>
      <c r="B2229" s="5" t="s">
        <v>5737</v>
      </c>
      <c r="C2229" s="5" t="s">
        <v>51</v>
      </c>
      <c r="D2229" s="5" t="s">
        <v>52</v>
      </c>
      <c r="E2229" s="5" t="s">
        <v>340</v>
      </c>
      <c r="F2229" s="9">
        <v>55</v>
      </c>
      <c r="G2229" s="9">
        <v>596</v>
      </c>
      <c r="H2229" s="5" t="s">
        <v>21</v>
      </c>
      <c r="I2229" s="5" t="s">
        <v>5739</v>
      </c>
      <c r="J2229" s="12" t="str">
        <f>HYPERLINK("https://www.boe.es/gazeta/dias/1803/07/12/pdfs/GMD-1803-55.pdf#page=4","Abrir facsímil")</f>
        <v>Abrir facsímil</v>
      </c>
      <c r="K2229" s="15" t="s">
        <v>23</v>
      </c>
    </row>
    <row r="2230" spans="1:11" ht="42" customHeight="1">
      <c r="A2230" s="4" t="s">
        <v>5740</v>
      </c>
      <c r="B2230" s="5" t="s">
        <v>5740</v>
      </c>
      <c r="C2230" s="5" t="s">
        <v>26</v>
      </c>
      <c r="D2230" s="5" t="s">
        <v>27</v>
      </c>
      <c r="E2230" s="5" t="s">
        <v>300</v>
      </c>
      <c r="F2230" s="9">
        <v>96</v>
      </c>
      <c r="G2230" s="9">
        <v>1028</v>
      </c>
      <c r="H2230" s="5" t="s">
        <v>21</v>
      </c>
      <c r="I2230" s="5" t="s">
        <v>5741</v>
      </c>
      <c r="J2230" s="12" t="str">
        <f>HYPERLINK("https://www.boe.es/gazeta/dias/1803/11/29/pdfs/GMD-1803-96.pdf#page=4","Abrir facsímil")</f>
        <v>Abrir facsímil</v>
      </c>
      <c r="K2230" s="15" t="s">
        <v>23</v>
      </c>
    </row>
    <row r="2231" spans="1:11" ht="42" customHeight="1">
      <c r="A2231" s="4" t="s">
        <v>5742</v>
      </c>
      <c r="B2231" s="5" t="s">
        <v>5743</v>
      </c>
      <c r="C2231" s="5" t="s">
        <v>51</v>
      </c>
      <c r="D2231" s="5" t="s">
        <v>52</v>
      </c>
      <c r="E2231" s="5" t="s">
        <v>207</v>
      </c>
      <c r="F2231" s="9">
        <v>27</v>
      </c>
      <c r="G2231" s="9">
        <v>294</v>
      </c>
      <c r="H2231" s="5" t="s">
        <v>21</v>
      </c>
      <c r="I2231" s="5" t="s">
        <v>5744</v>
      </c>
      <c r="J2231" s="12" t="str">
        <f>HYPERLINK("https://www.boe.es/gazeta/dias/1803/04/05/pdfs/GMD-1803-27.pdf#page=10","Abrir facsímil")</f>
        <v>Abrir facsímil</v>
      </c>
      <c r="K2231" s="15" t="s">
        <v>23</v>
      </c>
    </row>
    <row r="2232" spans="1:11" ht="42" customHeight="1">
      <c r="A2232" s="4" t="s">
        <v>5745</v>
      </c>
      <c r="B2232" s="5" t="s">
        <v>5745</v>
      </c>
      <c r="C2232" s="5" t="s">
        <v>40</v>
      </c>
      <c r="D2232" s="5" t="s">
        <v>41</v>
      </c>
      <c r="E2232" s="5" t="s">
        <v>85</v>
      </c>
      <c r="F2232" s="9">
        <v>49</v>
      </c>
      <c r="G2232" s="9">
        <v>514</v>
      </c>
      <c r="H2232" s="5" t="s">
        <v>21</v>
      </c>
      <c r="I2232" s="5" t="s">
        <v>5746</v>
      </c>
      <c r="J2232" s="12" t="str">
        <f>HYPERLINK("https://www.boe.es/gazeta/dias/1803/06/21/pdfs/GMD-1803-49.pdf#page=2","Abrir facsímil")</f>
        <v>Abrir facsímil</v>
      </c>
      <c r="K2232" s="15" t="s">
        <v>23</v>
      </c>
    </row>
    <row r="2233" spans="1:11" ht="42" customHeight="1">
      <c r="A2233" s="4" t="s">
        <v>5745</v>
      </c>
      <c r="B2233" s="5" t="s">
        <v>5745</v>
      </c>
      <c r="C2233" s="5" t="s">
        <v>40</v>
      </c>
      <c r="D2233" s="5" t="s">
        <v>41</v>
      </c>
      <c r="E2233" s="5" t="s">
        <v>85</v>
      </c>
      <c r="F2233" s="9">
        <v>49</v>
      </c>
      <c r="G2233" s="9">
        <v>515</v>
      </c>
      <c r="H2233" s="5" t="s">
        <v>21</v>
      </c>
      <c r="I2233" s="5" t="s">
        <v>5747</v>
      </c>
      <c r="J2233" s="12" t="str">
        <f>HYPERLINK("https://www.boe.es/gazeta/dias/1803/06/21/pdfs/GMD-1803-49.pdf#page=3","Abrir facsímil")</f>
        <v>Abrir facsímil</v>
      </c>
      <c r="K2233" s="15" t="s">
        <v>23</v>
      </c>
    </row>
    <row r="2234" spans="1:11" ht="42" customHeight="1">
      <c r="A2234" s="4" t="s">
        <v>5745</v>
      </c>
      <c r="B2234" s="5" t="s">
        <v>5745</v>
      </c>
      <c r="C2234" s="5" t="s">
        <v>40</v>
      </c>
      <c r="D2234" s="5" t="s">
        <v>41</v>
      </c>
      <c r="E2234" s="5" t="s">
        <v>619</v>
      </c>
      <c r="F2234" s="9">
        <v>53</v>
      </c>
      <c r="G2234" s="9">
        <v>573</v>
      </c>
      <c r="H2234" s="5" t="s">
        <v>21</v>
      </c>
      <c r="I2234" s="5" t="s">
        <v>5748</v>
      </c>
      <c r="J2234" s="12" t="str">
        <f>HYPERLINK("https://www.boe.es/gazeta/dias/1803/07/05/pdfs/GMD-1803-53.pdf#page=5","Abrir facsímil")</f>
        <v>Abrir facsímil</v>
      </c>
      <c r="K2234" s="15" t="s">
        <v>23</v>
      </c>
    </row>
    <row r="2235" spans="1:11" ht="42" customHeight="1">
      <c r="A2235" s="4" t="s">
        <v>5745</v>
      </c>
      <c r="B2235" s="5" t="s">
        <v>5745</v>
      </c>
      <c r="C2235" s="5" t="s">
        <v>26</v>
      </c>
      <c r="D2235" s="5" t="s">
        <v>27</v>
      </c>
      <c r="E2235" s="5" t="s">
        <v>619</v>
      </c>
      <c r="F2235" s="9">
        <v>53</v>
      </c>
      <c r="G2235" s="9">
        <v>575</v>
      </c>
      <c r="H2235" s="5" t="s">
        <v>21</v>
      </c>
      <c r="I2235" s="5" t="s">
        <v>5749</v>
      </c>
      <c r="J2235" s="12" t="str">
        <f>HYPERLINK("https://www.boe.es/gazeta/dias/1803/07/05/pdfs/GMD-1803-53.pdf#page=7","Abrir facsímil")</f>
        <v>Abrir facsímil</v>
      </c>
      <c r="K2235" s="15" t="s">
        <v>23</v>
      </c>
    </row>
    <row r="2236" spans="1:11" ht="42" customHeight="1">
      <c r="A2236" s="4" t="s">
        <v>5750</v>
      </c>
      <c r="B2236" s="5" t="s">
        <v>5751</v>
      </c>
      <c r="C2236" s="5" t="s">
        <v>40</v>
      </c>
      <c r="D2236" s="5" t="s">
        <v>41</v>
      </c>
      <c r="E2236" s="5" t="s">
        <v>132</v>
      </c>
      <c r="F2236" s="9">
        <v>58</v>
      </c>
      <c r="G2236" s="9">
        <v>632</v>
      </c>
      <c r="H2236" s="5" t="s">
        <v>21</v>
      </c>
      <c r="I2236" s="5" t="s">
        <v>5752</v>
      </c>
      <c r="J2236" s="12" t="str">
        <f>HYPERLINK("https://www.boe.es/gazeta/dias/1803/07/22/pdfs/GMD-1803-58.pdf#page=4","Abrir facsímil")</f>
        <v>Abrir facsímil</v>
      </c>
      <c r="K2236" s="15" t="s">
        <v>23</v>
      </c>
    </row>
    <row r="2237" spans="1:11" ht="42" customHeight="1">
      <c r="A2237" s="4" t="s">
        <v>5753</v>
      </c>
      <c r="B2237" s="5" t="s">
        <v>5754</v>
      </c>
      <c r="C2237" s="5" t="s">
        <v>26</v>
      </c>
      <c r="D2237" s="5" t="s">
        <v>27</v>
      </c>
      <c r="E2237" s="5" t="s">
        <v>289</v>
      </c>
      <c r="F2237" s="9">
        <v>38</v>
      </c>
      <c r="G2237" s="9">
        <v>401</v>
      </c>
      <c r="H2237" s="5" t="s">
        <v>21</v>
      </c>
      <c r="I2237" s="5" t="s">
        <v>5755</v>
      </c>
      <c r="J2237" s="12" t="str">
        <f>HYPERLINK("https://www.boe.es/gazeta/dias/1803/05/13/pdfs/GMD-1803-38.pdf#page=9","Abrir facsímil")</f>
        <v>Abrir facsímil</v>
      </c>
      <c r="K2237" s="15" t="s">
        <v>23</v>
      </c>
    </row>
    <row r="2238" spans="1:11" ht="42" customHeight="1">
      <c r="A2238" s="4" t="s">
        <v>5756</v>
      </c>
      <c r="B2238" s="5" t="s">
        <v>5757</v>
      </c>
      <c r="C2238" s="5" t="s">
        <v>46</v>
      </c>
      <c r="D2238" s="5" t="s">
        <v>19</v>
      </c>
      <c r="E2238" s="5" t="s">
        <v>148</v>
      </c>
      <c r="F2238" s="9">
        <v>15</v>
      </c>
      <c r="G2238" s="9">
        <v>157</v>
      </c>
      <c r="H2238" s="5" t="s">
        <v>21</v>
      </c>
      <c r="I2238" s="5" t="s">
        <v>5758</v>
      </c>
      <c r="J2238" s="12" t="str">
        <f>HYPERLINK("https://www.boe.es/gazeta/dias/1803/02/22/pdfs/GMD-1803-15.pdf#page=9","Abrir facsímil")</f>
        <v>Abrir facsímil</v>
      </c>
      <c r="K2238" s="15" t="s">
        <v>23</v>
      </c>
    </row>
    <row r="2239" spans="1:11" ht="42" customHeight="1">
      <c r="A2239" s="4" t="s">
        <v>5759</v>
      </c>
      <c r="B2239" s="5" t="s">
        <v>5760</v>
      </c>
      <c r="C2239" s="5" t="s">
        <v>40</v>
      </c>
      <c r="D2239" s="5" t="s">
        <v>41</v>
      </c>
      <c r="E2239" s="5" t="s">
        <v>199</v>
      </c>
      <c r="F2239" s="9">
        <v>88</v>
      </c>
      <c r="G2239" s="9">
        <v>942</v>
      </c>
      <c r="H2239" s="5" t="s">
        <v>21</v>
      </c>
      <c r="I2239" s="5" t="s">
        <v>5761</v>
      </c>
      <c r="J2239" s="12" t="str">
        <f>HYPERLINK("https://www.boe.es/gazeta/dias/1803/11/01/pdfs/GMD-1803-88.pdf#page=2","Abrir facsímil")</f>
        <v>Abrir facsímil</v>
      </c>
      <c r="K2239" s="15" t="s">
        <v>23</v>
      </c>
    </row>
    <row r="2240" spans="1:11" ht="42" customHeight="1">
      <c r="A2240" s="4" t="s">
        <v>5762</v>
      </c>
      <c r="B2240" s="5" t="s">
        <v>5763</v>
      </c>
      <c r="C2240" s="5" t="s">
        <v>26</v>
      </c>
      <c r="D2240" s="5" t="s">
        <v>27</v>
      </c>
      <c r="E2240" s="5" t="s">
        <v>88</v>
      </c>
      <c r="F2240" s="9">
        <v>18</v>
      </c>
      <c r="G2240" s="9">
        <v>188</v>
      </c>
      <c r="H2240" s="5" t="s">
        <v>21</v>
      </c>
      <c r="I2240" s="5" t="s">
        <v>5764</v>
      </c>
      <c r="J2240" s="12" t="str">
        <f>HYPERLINK("https://www.boe.es/gazeta/dias/1803/03/04/pdfs/GMD-1803-18.pdf#page=8","Abrir facsímil")</f>
        <v>Abrir facsímil</v>
      </c>
      <c r="K2240" s="15" t="s">
        <v>23</v>
      </c>
    </row>
    <row r="2241" spans="1:11" ht="42" customHeight="1">
      <c r="A2241" s="4" t="s">
        <v>5765</v>
      </c>
      <c r="B2241" s="5" t="s">
        <v>5766</v>
      </c>
      <c r="C2241" s="5" t="s">
        <v>40</v>
      </c>
      <c r="D2241" s="5" t="s">
        <v>41</v>
      </c>
      <c r="E2241" s="5" t="s">
        <v>369</v>
      </c>
      <c r="F2241" s="9">
        <v>100</v>
      </c>
      <c r="G2241" s="9">
        <v>1069</v>
      </c>
      <c r="H2241" s="5" t="s">
        <v>21</v>
      </c>
      <c r="I2241" s="5" t="s">
        <v>5767</v>
      </c>
      <c r="J2241" s="12" t="str">
        <f>HYPERLINK("https://www.boe.es/gazeta/dias/1803/12/13/pdfs/GMD-1803-100.pdf#page=5","Abrir facsímil")</f>
        <v>Abrir facsímil</v>
      </c>
      <c r="K2241" s="15" t="s">
        <v>23</v>
      </c>
    </row>
    <row r="2242" spans="1:11" ht="42" customHeight="1">
      <c r="A2242" s="4" t="s">
        <v>5768</v>
      </c>
      <c r="B2242" s="5" t="s">
        <v>5769</v>
      </c>
      <c r="C2242" s="5" t="s">
        <v>26</v>
      </c>
      <c r="D2242" s="5" t="s">
        <v>27</v>
      </c>
      <c r="E2242" s="5" t="s">
        <v>211</v>
      </c>
      <c r="F2242" s="9">
        <v>71</v>
      </c>
      <c r="G2242" s="9">
        <v>773</v>
      </c>
      <c r="H2242" s="5" t="s">
        <v>21</v>
      </c>
      <c r="I2242" s="5" t="s">
        <v>5770</v>
      </c>
      <c r="J2242" s="12" t="str">
        <f>HYPERLINK("https://www.boe.es/gazeta/dias/1803/09/06/pdfs/GMD-1803-71.pdf#page=5","Abrir facsímil")</f>
        <v>Abrir facsímil</v>
      </c>
      <c r="K2242" s="15" t="s">
        <v>23</v>
      </c>
    </row>
    <row r="2243" spans="1:11" ht="42" customHeight="1">
      <c r="A2243" s="4" t="s">
        <v>5771</v>
      </c>
      <c r="B2243" s="5" t="s">
        <v>5772</v>
      </c>
      <c r="C2243" s="5" t="s">
        <v>40</v>
      </c>
      <c r="D2243" s="5" t="s">
        <v>41</v>
      </c>
      <c r="E2243" s="5" t="s">
        <v>726</v>
      </c>
      <c r="F2243" s="9">
        <v>78</v>
      </c>
      <c r="G2243" s="9">
        <v>841</v>
      </c>
      <c r="H2243" s="5" t="s">
        <v>21</v>
      </c>
      <c r="I2243" s="5" t="s">
        <v>5773</v>
      </c>
      <c r="J2243" s="12" t="str">
        <f>HYPERLINK("https://www.boe.es/gazeta/dias/1803/09/27/pdfs/GMD-1803-78.pdf#page=5","Abrir facsímil")</f>
        <v>Abrir facsímil</v>
      </c>
      <c r="K2243" s="15" t="s">
        <v>23</v>
      </c>
    </row>
    <row r="2244" spans="1:11" ht="42" customHeight="1">
      <c r="A2244" s="4" t="s">
        <v>5774</v>
      </c>
      <c r="B2244" s="5" t="s">
        <v>5775</v>
      </c>
      <c r="C2244" s="5" t="s">
        <v>26</v>
      </c>
      <c r="D2244" s="5" t="s">
        <v>27</v>
      </c>
      <c r="E2244" s="5" t="s">
        <v>132</v>
      </c>
      <c r="F2244" s="9">
        <v>58</v>
      </c>
      <c r="G2244" s="9">
        <v>632</v>
      </c>
      <c r="H2244" s="5" t="s">
        <v>21</v>
      </c>
      <c r="I2244" s="5" t="s">
        <v>5776</v>
      </c>
      <c r="J2244" s="12" t="str">
        <f>HYPERLINK("https://www.boe.es/gazeta/dias/1803/07/22/pdfs/GMD-1803-58.pdf#page=4","Abrir facsímil")</f>
        <v>Abrir facsímil</v>
      </c>
      <c r="K2244" s="15" t="s">
        <v>23</v>
      </c>
    </row>
    <row r="2245" spans="1:11" ht="42" customHeight="1">
      <c r="A2245" s="4" t="s">
        <v>5777</v>
      </c>
      <c r="B2245" s="5" t="s">
        <v>5777</v>
      </c>
      <c r="C2245" s="5" t="s">
        <v>40</v>
      </c>
      <c r="D2245" s="5" t="s">
        <v>41</v>
      </c>
      <c r="E2245" s="5" t="s">
        <v>399</v>
      </c>
      <c r="F2245" s="9">
        <v>95</v>
      </c>
      <c r="G2245" s="9">
        <v>1016</v>
      </c>
      <c r="H2245" s="5" t="s">
        <v>21</v>
      </c>
      <c r="I2245" s="5" t="s">
        <v>5778</v>
      </c>
      <c r="J2245" s="12" t="str">
        <f>HYPERLINK("https://www.boe.es/gazeta/dias/1803/11/25/pdfs/GMD-1803-95.pdf#page=4","Abrir facsímil")</f>
        <v>Abrir facsímil</v>
      </c>
      <c r="K2245" s="15" t="s">
        <v>23</v>
      </c>
    </row>
    <row r="2246" spans="1:11" ht="42" customHeight="1">
      <c r="A2246" s="4" t="s">
        <v>5779</v>
      </c>
      <c r="B2246" s="5" t="s">
        <v>5779</v>
      </c>
      <c r="C2246" s="5" t="s">
        <v>26</v>
      </c>
      <c r="D2246" s="5" t="s">
        <v>27</v>
      </c>
      <c r="E2246" s="5" t="s">
        <v>501</v>
      </c>
      <c r="F2246" s="9">
        <v>22</v>
      </c>
      <c r="G2246" s="9">
        <v>229</v>
      </c>
      <c r="H2246" s="5" t="s">
        <v>21</v>
      </c>
      <c r="I2246" s="5" t="s">
        <v>5780</v>
      </c>
      <c r="J2246" s="12" t="str">
        <f>HYPERLINK("https://www.boe.es/gazeta/dias/1803/03/18/pdfs/GMD-1803-22.pdf#page=1","Abrir facsímil")</f>
        <v>Abrir facsímil</v>
      </c>
      <c r="K2246" s="15" t="s">
        <v>23</v>
      </c>
    </row>
    <row r="2247" spans="1:11" ht="42" customHeight="1">
      <c r="A2247" s="4" t="s">
        <v>5781</v>
      </c>
      <c r="B2247" s="5" t="s">
        <v>5781</v>
      </c>
      <c r="C2247" s="5" t="s">
        <v>40</v>
      </c>
      <c r="D2247" s="5" t="s">
        <v>41</v>
      </c>
      <c r="E2247" s="5" t="s">
        <v>619</v>
      </c>
      <c r="F2247" s="9">
        <v>53</v>
      </c>
      <c r="G2247" s="9">
        <v>571</v>
      </c>
      <c r="H2247" s="5" t="s">
        <v>21</v>
      </c>
      <c r="I2247" s="5" t="s">
        <v>5782</v>
      </c>
      <c r="J2247" s="12" t="str">
        <f>HYPERLINK("https://www.boe.es/gazeta/dias/1803/07/05/pdfs/GMD-1803-53.pdf#page=3","Abrir facsímil")</f>
        <v>Abrir facsímil</v>
      </c>
      <c r="K2247" s="15" t="s">
        <v>23</v>
      </c>
    </row>
    <row r="2248" spans="1:11" ht="42" customHeight="1">
      <c r="A2248" s="4" t="s">
        <v>5783</v>
      </c>
      <c r="B2248" s="5" t="s">
        <v>5784</v>
      </c>
      <c r="C2248" s="5" t="s">
        <v>18</v>
      </c>
      <c r="D2248" s="5" t="s">
        <v>19</v>
      </c>
      <c r="E2248" s="5" t="s">
        <v>514</v>
      </c>
      <c r="F2248" s="9">
        <v>42</v>
      </c>
      <c r="G2248" s="9">
        <v>439</v>
      </c>
      <c r="H2248" s="5" t="s">
        <v>21</v>
      </c>
      <c r="I2248" s="5" t="s">
        <v>5785</v>
      </c>
      <c r="J2248" s="12" t="str">
        <f>HYPERLINK("https://www.boe.es/gazeta/dias/1803/05/27/pdfs/GMD-1803-42.pdf#page=7","Abrir facsímil")</f>
        <v>Abrir facsímil</v>
      </c>
      <c r="K2248" s="15" t="s">
        <v>23</v>
      </c>
    </row>
    <row r="2249" spans="1:11" ht="42" customHeight="1">
      <c r="A2249" s="4" t="s">
        <v>5786</v>
      </c>
      <c r="B2249" s="5" t="s">
        <v>5787</v>
      </c>
      <c r="C2249" s="5" t="s">
        <v>18</v>
      </c>
      <c r="D2249" s="5" t="s">
        <v>19</v>
      </c>
      <c r="E2249" s="5" t="s">
        <v>514</v>
      </c>
      <c r="F2249" s="9">
        <v>42</v>
      </c>
      <c r="G2249" s="9">
        <v>439</v>
      </c>
      <c r="H2249" s="5" t="s">
        <v>21</v>
      </c>
      <c r="I2249" s="5" t="s">
        <v>5788</v>
      </c>
      <c r="J2249" s="12" t="str">
        <f>HYPERLINK("https://www.boe.es/gazeta/dias/1803/05/27/pdfs/GMD-1803-42.pdf#page=7","Abrir facsímil")</f>
        <v>Abrir facsímil</v>
      </c>
      <c r="K2249" s="15" t="s">
        <v>23</v>
      </c>
    </row>
    <row r="2250" spans="1:11" ht="42" customHeight="1">
      <c r="A2250" s="4" t="s">
        <v>5789</v>
      </c>
      <c r="B2250" s="5" t="s">
        <v>5790</v>
      </c>
      <c r="C2250" s="5" t="s">
        <v>46</v>
      </c>
      <c r="D2250" s="5" t="s">
        <v>19</v>
      </c>
      <c r="E2250" s="5" t="s">
        <v>588</v>
      </c>
      <c r="F2250" s="9">
        <v>63</v>
      </c>
      <c r="G2250" s="9">
        <v>688</v>
      </c>
      <c r="H2250" s="5" t="s">
        <v>21</v>
      </c>
      <c r="I2250" s="5" t="s">
        <v>5791</v>
      </c>
      <c r="J2250" s="12" t="str">
        <f>HYPERLINK("https://www.boe.es/gazeta/dias/1803/08/09/pdfs/GMD-1803-63.pdf#page=8","Abrir facsímil")</f>
        <v>Abrir facsímil</v>
      </c>
      <c r="K2250" s="15" t="s">
        <v>23</v>
      </c>
    </row>
    <row r="2251" spans="1:11" ht="42" customHeight="1">
      <c r="A2251" s="4" t="s">
        <v>5792</v>
      </c>
      <c r="B2251" s="5" t="s">
        <v>5793</v>
      </c>
      <c r="C2251" s="5" t="s">
        <v>26</v>
      </c>
      <c r="D2251" s="5" t="s">
        <v>27</v>
      </c>
      <c r="E2251" s="5" t="s">
        <v>36</v>
      </c>
      <c r="F2251" s="9">
        <v>79</v>
      </c>
      <c r="G2251" s="9">
        <v>855</v>
      </c>
      <c r="H2251" s="5" t="s">
        <v>21</v>
      </c>
      <c r="I2251" s="5" t="s">
        <v>5794</v>
      </c>
      <c r="J2251" s="12" t="str">
        <f>HYPERLINK("https://www.boe.es/gazeta/dias/1803/09/30/pdfs/GMD-1803-79.pdf#page=7","Abrir facsímil")</f>
        <v>Abrir facsímil</v>
      </c>
      <c r="K2251" s="15" t="s">
        <v>23</v>
      </c>
    </row>
    <row r="2252" spans="1:11" ht="42" customHeight="1">
      <c r="A2252" s="4" t="s">
        <v>5795</v>
      </c>
      <c r="B2252" s="5" t="s">
        <v>5796</v>
      </c>
      <c r="C2252" s="5" t="s">
        <v>40</v>
      </c>
      <c r="D2252" s="5" t="s">
        <v>41</v>
      </c>
      <c r="E2252" s="5" t="s">
        <v>250</v>
      </c>
      <c r="F2252" s="9">
        <v>4</v>
      </c>
      <c r="G2252" s="9">
        <v>35</v>
      </c>
      <c r="H2252" s="5" t="s">
        <v>21</v>
      </c>
      <c r="I2252" s="5" t="s">
        <v>5797</v>
      </c>
      <c r="J2252" s="12" t="str">
        <f>HYPERLINK("https://www.boe.es/gazeta/dias/1803/01/14/pdfs/GMD-1803-4.pdf#page=7","Abrir facsímil")</f>
        <v>Abrir facsímil</v>
      </c>
      <c r="K2252" s="15" t="s">
        <v>23</v>
      </c>
    </row>
    <row r="2253" spans="1:11" ht="42" customHeight="1">
      <c r="A2253" s="4" t="s">
        <v>5798</v>
      </c>
      <c r="B2253" s="5" t="s">
        <v>5798</v>
      </c>
      <c r="C2253" s="5" t="s">
        <v>80</v>
      </c>
      <c r="D2253" s="5" t="s">
        <v>81</v>
      </c>
      <c r="E2253" s="5" t="s">
        <v>211</v>
      </c>
      <c r="F2253" s="9">
        <v>71</v>
      </c>
      <c r="G2253" s="9">
        <v>779</v>
      </c>
      <c r="H2253" s="5" t="s">
        <v>21</v>
      </c>
      <c r="I2253" s="5" t="s">
        <v>5799</v>
      </c>
      <c r="J2253" s="12" t="str">
        <f>HYPERLINK("https://www.boe.es/gazeta/dias/1803/09/06/pdfs/GMD-1803-71.pdf#page=11","Abrir facsímil")</f>
        <v>Abrir facsímil</v>
      </c>
      <c r="K2253" s="15" t="s">
        <v>23</v>
      </c>
    </row>
    <row r="2254" spans="1:11" ht="42" customHeight="1">
      <c r="A2254" s="4" t="s">
        <v>5800</v>
      </c>
      <c r="B2254" s="5" t="s">
        <v>5801</v>
      </c>
      <c r="C2254" s="5" t="s">
        <v>40</v>
      </c>
      <c r="D2254" s="5" t="s">
        <v>41</v>
      </c>
      <c r="E2254" s="5" t="s">
        <v>256</v>
      </c>
      <c r="F2254" s="9">
        <v>1</v>
      </c>
      <c r="G2254" s="9">
        <v>2</v>
      </c>
      <c r="H2254" s="5" t="s">
        <v>21</v>
      </c>
      <c r="I2254" s="5" t="s">
        <v>5802</v>
      </c>
      <c r="J2254" s="12" t="str">
        <f>HYPERLINK("https://www.boe.es/gazeta/dias/1803/01/04/pdfs/GMD-1803-1.pdf#page=2","Abrir facsímil")</f>
        <v>Abrir facsímil</v>
      </c>
      <c r="K2254" s="15" t="s">
        <v>23</v>
      </c>
    </row>
    <row r="2255" spans="1:11" ht="42" customHeight="1">
      <c r="A2255" s="4" t="s">
        <v>5803</v>
      </c>
      <c r="B2255" s="5" t="s">
        <v>5803</v>
      </c>
      <c r="C2255" s="5" t="s">
        <v>26</v>
      </c>
      <c r="D2255" s="5" t="s">
        <v>27</v>
      </c>
      <c r="E2255" s="5" t="s">
        <v>32</v>
      </c>
      <c r="F2255" s="9">
        <v>74</v>
      </c>
      <c r="G2255" s="9">
        <v>802</v>
      </c>
      <c r="H2255" s="5" t="s">
        <v>21</v>
      </c>
      <c r="I2255" s="5" t="s">
        <v>5804</v>
      </c>
      <c r="J2255" s="12" t="str">
        <f>HYPERLINK("https://www.boe.es/gazeta/dias/1803/09/13/pdfs/GMD-1803-74.pdf#page=6","Abrir facsímil")</f>
        <v>Abrir facsímil</v>
      </c>
      <c r="K2255" s="15" t="s">
        <v>23</v>
      </c>
    </row>
    <row r="2256" spans="1:11" ht="42" customHeight="1">
      <c r="A2256" s="4" t="s">
        <v>5805</v>
      </c>
      <c r="B2256" s="5" t="s">
        <v>5805</v>
      </c>
      <c r="C2256" s="5" t="s">
        <v>40</v>
      </c>
      <c r="D2256" s="5" t="s">
        <v>41</v>
      </c>
      <c r="E2256" s="5" t="s">
        <v>417</v>
      </c>
      <c r="F2256" s="9">
        <v>72</v>
      </c>
      <c r="G2256" s="9">
        <v>784</v>
      </c>
      <c r="H2256" s="5" t="s">
        <v>21</v>
      </c>
      <c r="I2256" s="5" t="s">
        <v>5806</v>
      </c>
      <c r="J2256" s="12" t="str">
        <f>HYPERLINK("https://www.boe.es/gazeta/dias/1803/09/09/pdfs/GMD-1803-72.pdf#page=4","Abrir facsímil")</f>
        <v>Abrir facsímil</v>
      </c>
      <c r="K2256" s="15" t="s">
        <v>23</v>
      </c>
    </row>
    <row r="2257" spans="1:11" ht="42" customHeight="1">
      <c r="A2257" s="4" t="s">
        <v>5807</v>
      </c>
      <c r="B2257" s="5" t="s">
        <v>5807</v>
      </c>
      <c r="C2257" s="5" t="s">
        <v>26</v>
      </c>
      <c r="D2257" s="5" t="s">
        <v>27</v>
      </c>
      <c r="E2257" s="5" t="s">
        <v>910</v>
      </c>
      <c r="F2257" s="9">
        <v>66</v>
      </c>
      <c r="G2257" s="9">
        <v>719</v>
      </c>
      <c r="H2257" s="5" t="s">
        <v>21</v>
      </c>
      <c r="I2257" s="5" t="s">
        <v>5808</v>
      </c>
      <c r="J2257" s="12" t="str">
        <f>HYPERLINK("https://www.boe.es/gazeta/dias/1803/08/19/pdfs/GMD-1803-66.pdf#page=7","Abrir facsímil")</f>
        <v>Abrir facsímil</v>
      </c>
      <c r="K2257" s="15" t="s">
        <v>23</v>
      </c>
    </row>
    <row r="2258" spans="1:11" ht="42" customHeight="1">
      <c r="A2258" s="4" t="s">
        <v>5809</v>
      </c>
      <c r="B2258" s="5" t="s">
        <v>5809</v>
      </c>
      <c r="C2258" s="5" t="s">
        <v>26</v>
      </c>
      <c r="D2258" s="5" t="s">
        <v>27</v>
      </c>
      <c r="E2258" s="5" t="s">
        <v>218</v>
      </c>
      <c r="F2258" s="9">
        <v>19</v>
      </c>
      <c r="G2258" s="9">
        <v>199</v>
      </c>
      <c r="H2258" s="5" t="s">
        <v>21</v>
      </c>
      <c r="I2258" s="5" t="s">
        <v>5810</v>
      </c>
      <c r="J2258" s="12" t="str">
        <f>HYPERLINK("https://www.boe.es/gazeta/dias/1803/03/08/pdfs/GMD-1803-19.pdf#page=7","Abrir facsímil")</f>
        <v>Abrir facsímil</v>
      </c>
      <c r="K2258" s="15" t="s">
        <v>23</v>
      </c>
    </row>
    <row r="2259" spans="1:11" ht="42" customHeight="1">
      <c r="A2259" s="4" t="s">
        <v>5811</v>
      </c>
      <c r="B2259" s="5" t="s">
        <v>5812</v>
      </c>
      <c r="C2259" s="5" t="s">
        <v>26</v>
      </c>
      <c r="D2259" s="5" t="s">
        <v>27</v>
      </c>
      <c r="E2259" s="5" t="s">
        <v>278</v>
      </c>
      <c r="F2259" s="9">
        <v>46</v>
      </c>
      <c r="G2259" s="9">
        <v>486</v>
      </c>
      <c r="H2259" s="5" t="s">
        <v>21</v>
      </c>
      <c r="I2259" s="5" t="s">
        <v>5813</v>
      </c>
      <c r="J2259" s="12" t="str">
        <f>HYPERLINK("https://www.boe.es/gazeta/dias/1803/06/10/pdfs/GMD-1803-46.pdf#page=10","Abrir facsímil")</f>
        <v>Abrir facsímil</v>
      </c>
      <c r="K2259" s="15" t="s">
        <v>23</v>
      </c>
    </row>
    <row r="2260" spans="1:11" ht="42" customHeight="1">
      <c r="A2260" s="4" t="s">
        <v>5814</v>
      </c>
      <c r="B2260" s="5" t="s">
        <v>5815</v>
      </c>
      <c r="C2260" s="5" t="s">
        <v>40</v>
      </c>
      <c r="D2260" s="5" t="s">
        <v>41</v>
      </c>
      <c r="E2260" s="5" t="s">
        <v>555</v>
      </c>
      <c r="F2260" s="9">
        <v>83</v>
      </c>
      <c r="G2260" s="9">
        <v>890</v>
      </c>
      <c r="H2260" s="5" t="s">
        <v>21</v>
      </c>
      <c r="I2260" s="5" t="s">
        <v>5816</v>
      </c>
      <c r="J2260" s="12" t="str">
        <f>HYPERLINK("https://www.boe.es/gazeta/dias/1803/10/14/pdfs/GMD-1803-83.pdf#page=2","Abrir facsímil")</f>
        <v>Abrir facsímil</v>
      </c>
      <c r="K2260" s="15" t="s">
        <v>23</v>
      </c>
    </row>
    <row r="2261" spans="1:11" ht="42" customHeight="1">
      <c r="A2261" s="4" t="s">
        <v>5817</v>
      </c>
      <c r="B2261" s="5" t="s">
        <v>5818</v>
      </c>
      <c r="C2261" s="5" t="s">
        <v>40</v>
      </c>
      <c r="D2261" s="5" t="s">
        <v>41</v>
      </c>
      <c r="E2261" s="5" t="s">
        <v>1846</v>
      </c>
      <c r="F2261" s="9">
        <v>89</v>
      </c>
      <c r="G2261" s="9">
        <v>955</v>
      </c>
      <c r="H2261" s="5" t="s">
        <v>21</v>
      </c>
      <c r="I2261" s="5" t="s">
        <v>5819</v>
      </c>
      <c r="J2261" s="12" t="str">
        <f>HYPERLINK("https://www.boe.es/gazeta/dias/1803/11/04/pdfs/GMD-1803-89.pdf#page=3","Abrir facsímil")</f>
        <v>Abrir facsímil</v>
      </c>
      <c r="K2261" s="15" t="s">
        <v>23</v>
      </c>
    </row>
    <row r="2262" spans="1:11" ht="42" customHeight="1">
      <c r="A2262" s="4" t="s">
        <v>5820</v>
      </c>
      <c r="B2262" s="5" t="s">
        <v>5821</v>
      </c>
      <c r="C2262" s="5" t="s">
        <v>51</v>
      </c>
      <c r="D2262" s="5" t="s">
        <v>52</v>
      </c>
      <c r="E2262" s="5" t="s">
        <v>509</v>
      </c>
      <c r="F2262" s="9">
        <v>6</v>
      </c>
      <c r="G2262" s="9">
        <v>49</v>
      </c>
      <c r="H2262" s="5" t="s">
        <v>21</v>
      </c>
      <c r="I2262" s="5" t="s">
        <v>5822</v>
      </c>
      <c r="J2262" s="12" t="str">
        <f>HYPERLINK("https://www.boe.es/gazeta/dias/1803/01/21/pdfs/GMD-1803-6.pdf#page=1","Abrir facsímil")</f>
        <v>Abrir facsímil</v>
      </c>
      <c r="K2262" s="15" t="s">
        <v>23</v>
      </c>
    </row>
    <row r="2263" spans="1:11" ht="42" customHeight="1">
      <c r="A2263" s="4" t="s">
        <v>5820</v>
      </c>
      <c r="B2263" s="5" t="s">
        <v>5821</v>
      </c>
      <c r="C2263" s="5" t="s">
        <v>40</v>
      </c>
      <c r="D2263" s="5" t="s">
        <v>41</v>
      </c>
      <c r="E2263" s="5" t="s">
        <v>36</v>
      </c>
      <c r="F2263" s="9">
        <v>79</v>
      </c>
      <c r="G2263" s="9">
        <v>852</v>
      </c>
      <c r="H2263" s="5" t="s">
        <v>21</v>
      </c>
      <c r="I2263" s="5" t="s">
        <v>5823</v>
      </c>
      <c r="J2263" s="12" t="str">
        <f>HYPERLINK("https://www.boe.es/gazeta/dias/1803/09/30/pdfs/GMD-1803-79.pdf#page=4","Abrir facsímil")</f>
        <v>Abrir facsímil</v>
      </c>
      <c r="K2263" s="15" t="s">
        <v>23</v>
      </c>
    </row>
    <row r="2264" spans="1:11" ht="42" customHeight="1">
      <c r="A2264" s="4" t="s">
        <v>5820</v>
      </c>
      <c r="B2264" s="5" t="s">
        <v>5821</v>
      </c>
      <c r="C2264" s="5" t="s">
        <v>40</v>
      </c>
      <c r="D2264" s="5" t="s">
        <v>41</v>
      </c>
      <c r="E2264" s="5" t="s">
        <v>160</v>
      </c>
      <c r="F2264" s="9">
        <v>81</v>
      </c>
      <c r="G2264" s="9">
        <v>867</v>
      </c>
      <c r="H2264" s="5" t="s">
        <v>21</v>
      </c>
      <c r="I2264" s="5" t="s">
        <v>5824</v>
      </c>
      <c r="J2264" s="12" t="str">
        <f>HYPERLINK("https://www.boe.es/gazeta/dias/1803/10/07/pdfs/GMD-1803-81.pdf#page=3","Abrir facsímil")</f>
        <v>Abrir facsímil</v>
      </c>
      <c r="K2264" s="15" t="s">
        <v>23</v>
      </c>
    </row>
    <row r="2265" spans="1:11" ht="42" customHeight="1">
      <c r="A2265" s="4" t="s">
        <v>5825</v>
      </c>
      <c r="B2265" s="5" t="s">
        <v>5826</v>
      </c>
      <c r="C2265" s="5" t="s">
        <v>40</v>
      </c>
      <c r="D2265" s="5" t="s">
        <v>41</v>
      </c>
      <c r="E2265" s="5" t="s">
        <v>480</v>
      </c>
      <c r="F2265" s="9">
        <v>87</v>
      </c>
      <c r="G2265" s="9">
        <v>935</v>
      </c>
      <c r="H2265" s="5" t="s">
        <v>21</v>
      </c>
      <c r="I2265" s="5" t="s">
        <v>5827</v>
      </c>
      <c r="J2265" s="12" t="str">
        <f>HYPERLINK("https://www.boe.es/gazeta/dias/1803/10/28/pdfs/GMD-1803-87.pdf#page=3","Abrir facsímil")</f>
        <v>Abrir facsímil</v>
      </c>
      <c r="K2265" s="15" t="s">
        <v>23</v>
      </c>
    </row>
    <row r="2266" spans="1:11" ht="42" customHeight="1">
      <c r="A2266" s="4" t="s">
        <v>5828</v>
      </c>
      <c r="B2266" s="5" t="s">
        <v>5828</v>
      </c>
      <c r="C2266" s="5" t="s">
        <v>26</v>
      </c>
      <c r="D2266" s="5" t="s">
        <v>27</v>
      </c>
      <c r="E2266" s="5" t="s">
        <v>71</v>
      </c>
      <c r="F2266" s="9">
        <v>39</v>
      </c>
      <c r="G2266" s="9">
        <v>412</v>
      </c>
      <c r="H2266" s="5" t="s">
        <v>21</v>
      </c>
      <c r="I2266" s="5" t="s">
        <v>5829</v>
      </c>
      <c r="J2266" s="12" t="str">
        <f>HYPERLINK("https://www.boe.es/gazeta/dias/1803/05/17/pdfs/GMD-1803-39.pdf#page=8","Abrir facsímil")</f>
        <v>Abrir facsímil</v>
      </c>
      <c r="K2266" s="15" t="s">
        <v>23</v>
      </c>
    </row>
    <row r="2267" spans="1:11" ht="42" customHeight="1">
      <c r="A2267" s="4" t="s">
        <v>5830</v>
      </c>
      <c r="B2267" s="5" t="s">
        <v>5830</v>
      </c>
      <c r="C2267" s="5" t="s">
        <v>26</v>
      </c>
      <c r="D2267" s="5" t="s">
        <v>27</v>
      </c>
      <c r="E2267" s="5" t="s">
        <v>399</v>
      </c>
      <c r="F2267" s="9">
        <v>95</v>
      </c>
      <c r="G2267" s="9">
        <v>1017</v>
      </c>
      <c r="H2267" s="5" t="s">
        <v>21</v>
      </c>
      <c r="I2267" s="5" t="s">
        <v>5831</v>
      </c>
      <c r="J2267" s="12" t="str">
        <f>HYPERLINK("https://www.boe.es/gazeta/dias/1803/11/25/pdfs/GMD-1803-95.pdf#page=5","Abrir facsímil")</f>
        <v>Abrir facsímil</v>
      </c>
      <c r="K2267" s="15" t="s">
        <v>23</v>
      </c>
    </row>
    <row r="2268" spans="1:11" ht="42" customHeight="1">
      <c r="A2268" s="4" t="s">
        <v>5832</v>
      </c>
      <c r="B2268" s="5" t="s">
        <v>5832</v>
      </c>
      <c r="C2268" s="5" t="s">
        <v>26</v>
      </c>
      <c r="D2268" s="5" t="s">
        <v>27</v>
      </c>
      <c r="E2268" s="5" t="s">
        <v>293</v>
      </c>
      <c r="F2268" s="9">
        <v>45</v>
      </c>
      <c r="G2268" s="9">
        <v>474</v>
      </c>
      <c r="H2268" s="5" t="s">
        <v>21</v>
      </c>
      <c r="I2268" s="5" t="s">
        <v>5833</v>
      </c>
      <c r="J2268" s="12" t="str">
        <f>HYPERLINK("https://www.boe.es/gazeta/dias/1803/06/07/pdfs/GMD-1803-45.pdf#page=10","Abrir facsímil")</f>
        <v>Abrir facsímil</v>
      </c>
      <c r="K2268" s="15" t="s">
        <v>23</v>
      </c>
    </row>
    <row r="2269" spans="1:11" ht="42" customHeight="1">
      <c r="A2269" s="4" t="s">
        <v>5834</v>
      </c>
      <c r="B2269" s="5" t="s">
        <v>5834</v>
      </c>
      <c r="C2269" s="5" t="s">
        <v>40</v>
      </c>
      <c r="D2269" s="5" t="s">
        <v>41</v>
      </c>
      <c r="E2269" s="5" t="s">
        <v>439</v>
      </c>
      <c r="F2269" s="9">
        <v>76</v>
      </c>
      <c r="G2269" s="9">
        <v>818</v>
      </c>
      <c r="H2269" s="5" t="s">
        <v>21</v>
      </c>
      <c r="I2269" s="5" t="s">
        <v>5835</v>
      </c>
      <c r="J2269" s="12" t="str">
        <f>HYPERLINK("https://www.boe.es/gazeta/dias/1803/09/20/pdfs/GMD-1803-76.pdf#page=6","Abrir facsímil")</f>
        <v>Abrir facsímil</v>
      </c>
      <c r="K2269" s="15" t="s">
        <v>23</v>
      </c>
    </row>
    <row r="2270" spans="1:11" ht="42" customHeight="1">
      <c r="A2270" s="4" t="s">
        <v>5836</v>
      </c>
      <c r="B2270" s="5" t="s">
        <v>5837</v>
      </c>
      <c r="C2270" s="5" t="s">
        <v>26</v>
      </c>
      <c r="D2270" s="5" t="s">
        <v>27</v>
      </c>
      <c r="E2270" s="5" t="s">
        <v>403</v>
      </c>
      <c r="F2270" s="9">
        <v>91</v>
      </c>
      <c r="G2270" s="9">
        <v>970</v>
      </c>
      <c r="H2270" s="5" t="s">
        <v>21</v>
      </c>
      <c r="I2270" s="5" t="s">
        <v>5838</v>
      </c>
      <c r="J2270" s="12" t="str">
        <f>HYPERLINK("https://www.boe.es/gazeta/dias/1803/11/11/pdfs/GMD-1803-91.pdf#page=2","Abrir facsímil")</f>
        <v>Abrir facsímil</v>
      </c>
      <c r="K2270" s="15" t="s">
        <v>23</v>
      </c>
    </row>
    <row r="2271" spans="1:11" ht="42" customHeight="1">
      <c r="A2271" s="4" t="s">
        <v>5839</v>
      </c>
      <c r="B2271" s="5" t="s">
        <v>5839</v>
      </c>
      <c r="C2271" s="5" t="s">
        <v>18</v>
      </c>
      <c r="D2271" s="5" t="s">
        <v>19</v>
      </c>
      <c r="E2271" s="5" t="s">
        <v>523</v>
      </c>
      <c r="F2271" s="9">
        <v>101</v>
      </c>
      <c r="G2271" s="9">
        <v>1086</v>
      </c>
      <c r="H2271" s="5" t="s">
        <v>21</v>
      </c>
      <c r="I2271" s="5" t="s">
        <v>5840</v>
      </c>
      <c r="J2271" s="12" t="str">
        <f>HYPERLINK("https://www.boe.es/gazeta/dias/1803/12/16/pdfs/GMD-1803-101.pdf#page=10","Abrir facsímil")</f>
        <v>Abrir facsímil</v>
      </c>
      <c r="K2271" s="15" t="s">
        <v>23</v>
      </c>
    </row>
    <row r="2272" spans="1:11" ht="42" customHeight="1">
      <c r="A2272" s="4" t="s">
        <v>5841</v>
      </c>
      <c r="B2272" s="5" t="s">
        <v>5842</v>
      </c>
      <c r="C2272" s="5" t="s">
        <v>26</v>
      </c>
      <c r="D2272" s="5" t="s">
        <v>27</v>
      </c>
      <c r="E2272" s="5" t="s">
        <v>630</v>
      </c>
      <c r="F2272" s="9">
        <v>85</v>
      </c>
      <c r="G2272" s="9">
        <v>917</v>
      </c>
      <c r="H2272" s="5" t="s">
        <v>21</v>
      </c>
      <c r="I2272" s="5" t="s">
        <v>5843</v>
      </c>
      <c r="J2272" s="12" t="str">
        <f>HYPERLINK("https://www.boe.es/gazeta/dias/1803/10/21/pdfs/GMD-1803-85.pdf#page=9","Abrir facsímil")</f>
        <v>Abrir facsímil</v>
      </c>
      <c r="K2272" s="15" t="s">
        <v>23</v>
      </c>
    </row>
    <row r="2273" spans="1:11" ht="42" customHeight="1">
      <c r="A2273" s="4" t="s">
        <v>5844</v>
      </c>
      <c r="B2273" s="5" t="s">
        <v>5845</v>
      </c>
      <c r="C2273" s="5" t="s">
        <v>51</v>
      </c>
      <c r="D2273" s="5" t="s">
        <v>52</v>
      </c>
      <c r="E2273" s="5" t="s">
        <v>501</v>
      </c>
      <c r="F2273" s="9">
        <v>22</v>
      </c>
      <c r="G2273" s="9">
        <v>239</v>
      </c>
      <c r="H2273" s="5" t="s">
        <v>21</v>
      </c>
      <c r="I2273" s="5" t="s">
        <v>5846</v>
      </c>
      <c r="J2273" s="12" t="str">
        <f>HYPERLINK("https://www.boe.es/gazeta/dias/1803/03/18/pdfs/GMD-1803-22.pdf#page=11","Abrir facsímil")</f>
        <v>Abrir facsímil</v>
      </c>
      <c r="K2273" s="15" t="s">
        <v>23</v>
      </c>
    </row>
    <row r="2274" spans="1:11" ht="42" customHeight="1">
      <c r="A2274" s="4" t="s">
        <v>5844</v>
      </c>
      <c r="B2274" s="5" t="s">
        <v>5845</v>
      </c>
      <c r="C2274" s="5" t="s">
        <v>80</v>
      </c>
      <c r="D2274" s="5" t="s">
        <v>81</v>
      </c>
      <c r="E2274" s="5" t="s">
        <v>967</v>
      </c>
      <c r="F2274" s="9">
        <v>35</v>
      </c>
      <c r="G2274" s="9">
        <v>368</v>
      </c>
      <c r="H2274" s="5" t="s">
        <v>21</v>
      </c>
      <c r="I2274" s="5" t="s">
        <v>5847</v>
      </c>
      <c r="J2274" s="12" t="str">
        <f>HYPERLINK("https://www.boe.es/gazeta/dias/1803/05/03/pdfs/GMD-1803-35.pdf#page=8","Abrir facsímil")</f>
        <v>Abrir facsímil</v>
      </c>
      <c r="K2274" s="15" t="s">
        <v>23</v>
      </c>
    </row>
    <row r="2275" spans="1:11" ht="42" customHeight="1">
      <c r="A2275" s="4" t="s">
        <v>5848</v>
      </c>
      <c r="B2275" s="5" t="s">
        <v>5849</v>
      </c>
      <c r="C2275" s="5" t="s">
        <v>18</v>
      </c>
      <c r="D2275" s="5" t="s">
        <v>19</v>
      </c>
      <c r="E2275" s="5" t="s">
        <v>395</v>
      </c>
      <c r="F2275" s="9">
        <v>13</v>
      </c>
      <c r="G2275" s="9">
        <v>134</v>
      </c>
      <c r="H2275" s="5" t="s">
        <v>21</v>
      </c>
      <c r="I2275" s="5" t="s">
        <v>5850</v>
      </c>
      <c r="J2275" s="12" t="str">
        <f>HYPERLINK("https://www.boe.es/gazeta/dias/1803/02/15/pdfs/GMD-1803-13.pdf#page=10","Abrir facsímil")</f>
        <v>Abrir facsímil</v>
      </c>
      <c r="K2275" s="15" t="s">
        <v>23</v>
      </c>
    </row>
    <row r="2276" spans="1:11" ht="42" customHeight="1">
      <c r="A2276" s="4" t="s">
        <v>5848</v>
      </c>
      <c r="B2276" s="5" t="s">
        <v>5849</v>
      </c>
      <c r="C2276" s="5" t="s">
        <v>26</v>
      </c>
      <c r="D2276" s="5" t="s">
        <v>27</v>
      </c>
      <c r="E2276" s="5" t="s">
        <v>514</v>
      </c>
      <c r="F2276" s="9">
        <v>42</v>
      </c>
      <c r="G2276" s="9">
        <v>440</v>
      </c>
      <c r="H2276" s="5" t="s">
        <v>21</v>
      </c>
      <c r="I2276" s="5" t="s">
        <v>5851</v>
      </c>
      <c r="J2276" s="12" t="str">
        <f>HYPERLINK("https://www.boe.es/gazeta/dias/1803/05/27/pdfs/GMD-1803-42.pdf#page=8","Abrir facsímil")</f>
        <v>Abrir facsímil</v>
      </c>
      <c r="K2276" s="15" t="s">
        <v>23</v>
      </c>
    </row>
    <row r="2277" spans="1:11" ht="42" customHeight="1">
      <c r="A2277" s="4" t="s">
        <v>5852</v>
      </c>
      <c r="B2277" s="5" t="s">
        <v>5853</v>
      </c>
      <c r="C2277" s="5" t="s">
        <v>18</v>
      </c>
      <c r="D2277" s="5" t="s">
        <v>19</v>
      </c>
      <c r="E2277" s="5" t="s">
        <v>317</v>
      </c>
      <c r="F2277" s="9">
        <v>12</v>
      </c>
      <c r="G2277" s="9">
        <v>122</v>
      </c>
      <c r="H2277" s="5" t="s">
        <v>21</v>
      </c>
      <c r="I2277" s="5" t="s">
        <v>5854</v>
      </c>
      <c r="J2277" s="12" t="str">
        <f>HYPERLINK("https://www.boe.es/gazeta/dias/1803/02/11/pdfs/GMD-1803-12.pdf#page=10","Abrir facsímil")</f>
        <v>Abrir facsímil</v>
      </c>
      <c r="K2277" s="15" t="s">
        <v>23</v>
      </c>
    </row>
    <row r="2278" spans="1:11" ht="42" customHeight="1">
      <c r="A2278" s="4" t="s">
        <v>5855</v>
      </c>
      <c r="B2278" s="5" t="s">
        <v>5856</v>
      </c>
      <c r="C2278" s="5" t="s">
        <v>26</v>
      </c>
      <c r="D2278" s="5" t="s">
        <v>27</v>
      </c>
      <c r="E2278" s="5" t="s">
        <v>496</v>
      </c>
      <c r="F2278" s="9">
        <v>90</v>
      </c>
      <c r="G2278" s="9">
        <v>966</v>
      </c>
      <c r="H2278" s="5" t="s">
        <v>21</v>
      </c>
      <c r="I2278" s="5" t="s">
        <v>5857</v>
      </c>
      <c r="J2278" s="12" t="str">
        <f>HYPERLINK("https://www.boe.es/gazeta/dias/1803/11/08/pdfs/GMD-1803-90.pdf#page=6","Abrir facsímil")</f>
        <v>Abrir facsímil</v>
      </c>
      <c r="K2278" s="15" t="s">
        <v>23</v>
      </c>
    </row>
    <row r="2279" spans="1:11" ht="42" customHeight="1">
      <c r="A2279" s="4" t="s">
        <v>5858</v>
      </c>
      <c r="B2279" s="5" t="s">
        <v>5859</v>
      </c>
      <c r="C2279" s="5" t="s">
        <v>18</v>
      </c>
      <c r="D2279" s="5" t="s">
        <v>19</v>
      </c>
      <c r="E2279" s="5" t="s">
        <v>417</v>
      </c>
      <c r="F2279" s="9">
        <v>72</v>
      </c>
      <c r="G2279" s="9">
        <v>786</v>
      </c>
      <c r="H2279" s="5" t="s">
        <v>21</v>
      </c>
      <c r="I2279" s="5" t="s">
        <v>5860</v>
      </c>
      <c r="J2279" s="12" t="str">
        <f>HYPERLINK("https://www.boe.es/gazeta/dias/1803/09/09/pdfs/GMD-1803-72.pdf#page=6","Abrir facsímil")</f>
        <v>Abrir facsímil</v>
      </c>
      <c r="K2279" s="15" t="s">
        <v>23</v>
      </c>
    </row>
    <row r="2280" spans="1:11" ht="42" customHeight="1">
      <c r="A2280" s="4" t="s">
        <v>5861</v>
      </c>
      <c r="B2280" s="5" t="s">
        <v>5862</v>
      </c>
      <c r="C2280" s="5" t="s">
        <v>18</v>
      </c>
      <c r="D2280" s="5" t="s">
        <v>19</v>
      </c>
      <c r="E2280" s="5" t="s">
        <v>361</v>
      </c>
      <c r="F2280" s="9">
        <v>62</v>
      </c>
      <c r="G2280" s="9">
        <v>675</v>
      </c>
      <c r="H2280" s="5" t="s">
        <v>21</v>
      </c>
      <c r="I2280" s="5" t="s">
        <v>5863</v>
      </c>
      <c r="J2280" s="12" t="str">
        <f>HYPERLINK("https://www.boe.es/gazeta/dias/1803/08/05/pdfs/GMD-1803-62.pdf#page=7","Abrir facsímil")</f>
        <v>Abrir facsímil</v>
      </c>
      <c r="K2280" s="15" t="s">
        <v>23</v>
      </c>
    </row>
    <row r="2281" spans="1:11" ht="42" customHeight="1">
      <c r="A2281" s="4" t="s">
        <v>5864</v>
      </c>
      <c r="B2281" s="5" t="s">
        <v>5865</v>
      </c>
      <c r="C2281" s="5" t="s">
        <v>18</v>
      </c>
      <c r="D2281" s="5" t="s">
        <v>19</v>
      </c>
      <c r="E2281" s="5" t="s">
        <v>967</v>
      </c>
      <c r="F2281" s="9">
        <v>35</v>
      </c>
      <c r="G2281" s="9">
        <v>367</v>
      </c>
      <c r="H2281" s="5" t="s">
        <v>21</v>
      </c>
      <c r="I2281" s="5" t="s">
        <v>5866</v>
      </c>
      <c r="J2281" s="12" t="str">
        <f>HYPERLINK("https://www.boe.es/gazeta/dias/1803/05/03/pdfs/GMD-1803-35.pdf#page=7","Abrir facsímil")</f>
        <v>Abrir facsímil</v>
      </c>
      <c r="K2281" s="15" t="s">
        <v>23</v>
      </c>
    </row>
    <row r="2282" spans="1:11" ht="42" customHeight="1">
      <c r="A2282" s="4" t="s">
        <v>5867</v>
      </c>
      <c r="B2282" s="5" t="s">
        <v>5868</v>
      </c>
      <c r="C2282" s="5" t="s">
        <v>26</v>
      </c>
      <c r="D2282" s="5" t="s">
        <v>27</v>
      </c>
      <c r="E2282" s="5" t="s">
        <v>328</v>
      </c>
      <c r="F2282" s="9">
        <v>54</v>
      </c>
      <c r="G2282" s="9">
        <v>590</v>
      </c>
      <c r="H2282" s="5" t="s">
        <v>21</v>
      </c>
      <c r="I2282" s="5" t="s">
        <v>5869</v>
      </c>
      <c r="J2282" s="12" t="str">
        <f>HYPERLINK("https://www.boe.es/gazeta/dias/1803/07/08/pdfs/GMD-1803-54.pdf#page=10","Abrir facsímil")</f>
        <v>Abrir facsímil</v>
      </c>
      <c r="K2282" s="15" t="s">
        <v>23</v>
      </c>
    </row>
    <row r="2283" spans="1:11" ht="42" customHeight="1">
      <c r="A2283" s="4" t="s">
        <v>5870</v>
      </c>
      <c r="B2283" s="5" t="s">
        <v>5871</v>
      </c>
      <c r="C2283" s="5" t="s">
        <v>26</v>
      </c>
      <c r="D2283" s="5" t="s">
        <v>27</v>
      </c>
      <c r="E2283" s="5" t="s">
        <v>36</v>
      </c>
      <c r="F2283" s="9">
        <v>79</v>
      </c>
      <c r="G2283" s="9">
        <v>854</v>
      </c>
      <c r="H2283" s="5" t="s">
        <v>21</v>
      </c>
      <c r="I2283" s="5" t="s">
        <v>5872</v>
      </c>
      <c r="J2283" s="12" t="str">
        <f>HYPERLINK("https://www.boe.es/gazeta/dias/1803/09/30/pdfs/GMD-1803-79.pdf#page=6","Abrir facsímil")</f>
        <v>Abrir facsímil</v>
      </c>
      <c r="K2283" s="15" t="s">
        <v>23</v>
      </c>
    </row>
    <row r="2284" spans="1:11" ht="42" customHeight="1">
      <c r="A2284" s="4" t="s">
        <v>5873</v>
      </c>
      <c r="B2284" s="5" t="s">
        <v>5874</v>
      </c>
      <c r="C2284" s="5" t="s">
        <v>26</v>
      </c>
      <c r="D2284" s="5" t="s">
        <v>27</v>
      </c>
      <c r="E2284" s="5" t="s">
        <v>395</v>
      </c>
      <c r="F2284" s="9">
        <v>13</v>
      </c>
      <c r="G2284" s="9">
        <v>136</v>
      </c>
      <c r="H2284" s="5" t="s">
        <v>21</v>
      </c>
      <c r="I2284" s="5" t="s">
        <v>5875</v>
      </c>
      <c r="J2284" s="12" t="str">
        <f>HYPERLINK("https://www.boe.es/gazeta/dias/1803/02/15/pdfs/GMD-1803-13.pdf#page=12","Abrir facsímil")</f>
        <v>Abrir facsímil</v>
      </c>
      <c r="K2284" s="15" t="s">
        <v>23</v>
      </c>
    </row>
    <row r="2285" spans="1:11" ht="42" customHeight="1">
      <c r="A2285" s="4" t="s">
        <v>5876</v>
      </c>
      <c r="B2285" s="5" t="s">
        <v>5877</v>
      </c>
      <c r="C2285" s="5" t="s">
        <v>26</v>
      </c>
      <c r="D2285" s="5" t="s">
        <v>27</v>
      </c>
      <c r="E2285" s="5" t="s">
        <v>191</v>
      </c>
      <c r="F2285" s="9">
        <v>34</v>
      </c>
      <c r="G2285" s="9">
        <v>358</v>
      </c>
      <c r="H2285" s="5" t="s">
        <v>21</v>
      </c>
      <c r="I2285" s="5" t="s">
        <v>5878</v>
      </c>
      <c r="J2285" s="12" t="str">
        <f>HYPERLINK("https://www.boe.es/gazeta/dias/1803/04/29/pdfs/GMD-1803-34.pdf#page=6","Abrir facsímil")</f>
        <v>Abrir facsímil</v>
      </c>
      <c r="K2285" s="15" t="s">
        <v>23</v>
      </c>
    </row>
    <row r="2286" spans="1:11" ht="42" customHeight="1">
      <c r="A2286" s="4" t="s">
        <v>5879</v>
      </c>
      <c r="B2286" s="5" t="s">
        <v>5880</v>
      </c>
      <c r="C2286" s="5" t="s">
        <v>40</v>
      </c>
      <c r="D2286" s="5" t="s">
        <v>41</v>
      </c>
      <c r="E2286" s="5" t="s">
        <v>164</v>
      </c>
      <c r="F2286" s="9">
        <v>84</v>
      </c>
      <c r="G2286" s="9">
        <v>902</v>
      </c>
      <c r="H2286" s="5" t="s">
        <v>21</v>
      </c>
      <c r="I2286" s="5" t="s">
        <v>5881</v>
      </c>
      <c r="J2286" s="12" t="str">
        <f>HYPERLINK("https://www.boe.es/gazeta/dias/1803/10/18/pdfs/GMD-1803-84.pdf#page=6","Abrir facsímil")</f>
        <v>Abrir facsímil</v>
      </c>
      <c r="K2286" s="15" t="s">
        <v>23</v>
      </c>
    </row>
    <row r="2287" spans="1:11" ht="42" customHeight="1">
      <c r="A2287" s="4" t="s">
        <v>5882</v>
      </c>
      <c r="B2287" s="5" t="s">
        <v>5883</v>
      </c>
      <c r="C2287" s="5" t="s">
        <v>40</v>
      </c>
      <c r="D2287" s="5" t="s">
        <v>41</v>
      </c>
      <c r="E2287" s="5" t="s">
        <v>85</v>
      </c>
      <c r="F2287" s="9">
        <v>49</v>
      </c>
      <c r="G2287" s="9">
        <v>514</v>
      </c>
      <c r="H2287" s="5" t="s">
        <v>21</v>
      </c>
      <c r="I2287" s="5" t="s">
        <v>5884</v>
      </c>
      <c r="J2287" s="12" t="str">
        <f>HYPERLINK("https://www.boe.es/gazeta/dias/1803/06/21/pdfs/GMD-1803-49.pdf#page=2","Abrir facsímil")</f>
        <v>Abrir facsímil</v>
      </c>
      <c r="K2287" s="15" t="s">
        <v>23</v>
      </c>
    </row>
    <row r="2288" spans="1:11" ht="42" customHeight="1">
      <c r="A2288" s="4" t="s">
        <v>5885</v>
      </c>
      <c r="B2288" s="5" t="s">
        <v>5886</v>
      </c>
      <c r="C2288" s="5" t="s">
        <v>26</v>
      </c>
      <c r="D2288" s="5" t="s">
        <v>27</v>
      </c>
      <c r="E2288" s="5" t="s">
        <v>20</v>
      </c>
      <c r="F2288" s="9">
        <v>97</v>
      </c>
      <c r="G2288" s="9">
        <v>1042</v>
      </c>
      <c r="H2288" s="5" t="s">
        <v>21</v>
      </c>
      <c r="I2288" s="5" t="s">
        <v>5887</v>
      </c>
      <c r="J2288" s="12" t="str">
        <f>HYPERLINK("https://www.boe.es/gazeta/dias/1803/12/02/pdfs/GMD-1803-97.pdf#page=6","Abrir facsímil")</f>
        <v>Abrir facsímil</v>
      </c>
      <c r="K2288" s="15" t="s">
        <v>23</v>
      </c>
    </row>
    <row r="2289" spans="1:11" ht="42" customHeight="1">
      <c r="A2289" s="4" t="s">
        <v>5888</v>
      </c>
      <c r="B2289" s="5" t="s">
        <v>5888</v>
      </c>
      <c r="C2289" s="5" t="s">
        <v>51</v>
      </c>
      <c r="D2289" s="5" t="s">
        <v>52</v>
      </c>
      <c r="E2289" s="5" t="s">
        <v>174</v>
      </c>
      <c r="F2289" s="9">
        <v>21</v>
      </c>
      <c r="G2289" s="9">
        <v>221</v>
      </c>
      <c r="H2289" s="5" t="s">
        <v>21</v>
      </c>
      <c r="I2289" s="5" t="s">
        <v>5889</v>
      </c>
      <c r="J2289" s="12" t="str">
        <f>HYPERLINK("https://www.boe.es/gazeta/dias/1803/03/15/pdfs/GMD-1803-21.pdf#page=5","Abrir facsímil")</f>
        <v>Abrir facsímil</v>
      </c>
      <c r="K2289" s="15" t="s">
        <v>23</v>
      </c>
    </row>
    <row r="2290" spans="1:11" ht="42" customHeight="1">
      <c r="A2290" s="4" t="s">
        <v>5890</v>
      </c>
      <c r="B2290" s="5" t="s">
        <v>5891</v>
      </c>
      <c r="C2290" s="5" t="s">
        <v>80</v>
      </c>
      <c r="D2290" s="5" t="s">
        <v>81</v>
      </c>
      <c r="E2290" s="5" t="s">
        <v>203</v>
      </c>
      <c r="F2290" s="9">
        <v>32</v>
      </c>
      <c r="G2290" s="9">
        <v>330</v>
      </c>
      <c r="H2290" s="5" t="s">
        <v>21</v>
      </c>
      <c r="I2290" s="5" t="s">
        <v>5892</v>
      </c>
      <c r="J2290" s="12" t="str">
        <f>HYPERLINK("https://www.boe.es/gazeta/dias/1803/04/22/pdfs/GMD-1803-32.pdf#page=2","Abrir facsímil")</f>
        <v>Abrir facsímil</v>
      </c>
      <c r="K2290" s="15" t="s">
        <v>23</v>
      </c>
    </row>
    <row r="2291" spans="1:11" ht="42" customHeight="1">
      <c r="A2291" s="4" t="s">
        <v>5893</v>
      </c>
      <c r="B2291" s="5" t="s">
        <v>5893</v>
      </c>
      <c r="C2291" s="5" t="s">
        <v>26</v>
      </c>
      <c r="D2291" s="5" t="s">
        <v>27</v>
      </c>
      <c r="E2291" s="5" t="s">
        <v>102</v>
      </c>
      <c r="F2291" s="9">
        <v>31</v>
      </c>
      <c r="G2291" s="9">
        <v>322</v>
      </c>
      <c r="H2291" s="5" t="s">
        <v>21</v>
      </c>
      <c r="I2291" s="5" t="s">
        <v>5894</v>
      </c>
      <c r="J2291" s="12" t="str">
        <f>HYPERLINK("https://www.boe.es/gazeta/dias/1803/04/19/pdfs/GMD-1803-31.pdf#page=2","Abrir facsímil")</f>
        <v>Abrir facsímil</v>
      </c>
      <c r="K2291" s="15" t="s">
        <v>23</v>
      </c>
    </row>
    <row r="2292" spans="1:11" ht="42" customHeight="1">
      <c r="A2292" s="4" t="s">
        <v>5895</v>
      </c>
      <c r="B2292" s="5" t="s">
        <v>5896</v>
      </c>
      <c r="C2292" s="5" t="s">
        <v>40</v>
      </c>
      <c r="D2292" s="5" t="s">
        <v>41</v>
      </c>
      <c r="E2292" s="5" t="s">
        <v>519</v>
      </c>
      <c r="F2292" s="9">
        <v>50</v>
      </c>
      <c r="G2292" s="9">
        <v>537</v>
      </c>
      <c r="H2292" s="5" t="s">
        <v>21</v>
      </c>
      <c r="I2292" s="5" t="s">
        <v>5897</v>
      </c>
      <c r="J2292" s="12" t="str">
        <f>HYPERLINK("https://www.boe.es/gazeta/dias/1803/06/24/pdfs/GMD-1803-50.pdf#page=5","Abrir facsímil")</f>
        <v>Abrir facsímil</v>
      </c>
      <c r="K2292" s="15" t="s">
        <v>23</v>
      </c>
    </row>
    <row r="2293" spans="1:11" ht="42" customHeight="1">
      <c r="A2293" s="4" t="s">
        <v>5898</v>
      </c>
      <c r="B2293" s="5" t="s">
        <v>5898</v>
      </c>
      <c r="C2293" s="5" t="s">
        <v>40</v>
      </c>
      <c r="D2293" s="5" t="s">
        <v>41</v>
      </c>
      <c r="E2293" s="5" t="s">
        <v>113</v>
      </c>
      <c r="F2293" s="9">
        <v>93</v>
      </c>
      <c r="G2293" s="9">
        <v>990</v>
      </c>
      <c r="H2293" s="5" t="s">
        <v>21</v>
      </c>
      <c r="I2293" s="5" t="s">
        <v>5899</v>
      </c>
      <c r="J2293" s="12" t="str">
        <f>HYPERLINK("https://www.boe.es/gazeta/dias/1803/11/18/pdfs/GMD-1803-93.pdf#page=2","Abrir facsímil")</f>
        <v>Abrir facsímil</v>
      </c>
      <c r="K2293" s="15" t="s">
        <v>23</v>
      </c>
    </row>
    <row r="2294" spans="1:11" ht="42" customHeight="1">
      <c r="A2294" s="4" t="s">
        <v>5900</v>
      </c>
      <c r="B2294" s="5" t="s">
        <v>5901</v>
      </c>
      <c r="C2294" s="5" t="s">
        <v>40</v>
      </c>
      <c r="D2294" s="5" t="s">
        <v>41</v>
      </c>
      <c r="E2294" s="5" t="s">
        <v>496</v>
      </c>
      <c r="F2294" s="9">
        <v>90</v>
      </c>
      <c r="G2294" s="9">
        <v>964</v>
      </c>
      <c r="H2294" s="5" t="s">
        <v>21</v>
      </c>
      <c r="I2294" s="5" t="s">
        <v>5902</v>
      </c>
      <c r="J2294" s="12" t="str">
        <f>HYPERLINK("https://www.boe.es/gazeta/dias/1803/11/08/pdfs/GMD-1803-90.pdf#page=4","Abrir facsímil")</f>
        <v>Abrir facsímil</v>
      </c>
      <c r="K2294" s="15" t="s">
        <v>23</v>
      </c>
    </row>
    <row r="2295" spans="1:11" ht="42" customHeight="1">
      <c r="A2295" s="4" t="s">
        <v>5903</v>
      </c>
      <c r="B2295" s="5" t="s">
        <v>5903</v>
      </c>
      <c r="C2295" s="5" t="s">
        <v>40</v>
      </c>
      <c r="D2295" s="5" t="s">
        <v>41</v>
      </c>
      <c r="E2295" s="5" t="s">
        <v>36</v>
      </c>
      <c r="F2295" s="9">
        <v>79</v>
      </c>
      <c r="G2295" s="9">
        <v>853</v>
      </c>
      <c r="H2295" s="5" t="s">
        <v>21</v>
      </c>
      <c r="I2295" s="5" t="s">
        <v>5904</v>
      </c>
      <c r="J2295" s="12" t="str">
        <f>HYPERLINK("https://www.boe.es/gazeta/dias/1803/09/30/pdfs/GMD-1803-79.pdf#page=5","Abrir facsímil")</f>
        <v>Abrir facsímil</v>
      </c>
      <c r="K2295" s="15" t="s">
        <v>23</v>
      </c>
    </row>
    <row r="2296" spans="1:11" ht="42" customHeight="1">
      <c r="A2296" s="4" t="s">
        <v>5905</v>
      </c>
      <c r="B2296" s="5" t="s">
        <v>5906</v>
      </c>
      <c r="C2296" s="5" t="s">
        <v>26</v>
      </c>
      <c r="D2296" s="5" t="s">
        <v>27</v>
      </c>
      <c r="E2296" s="5" t="s">
        <v>619</v>
      </c>
      <c r="F2296" s="9">
        <v>53</v>
      </c>
      <c r="G2296" s="9">
        <v>571</v>
      </c>
      <c r="H2296" s="5" t="s">
        <v>21</v>
      </c>
      <c r="I2296" s="5" t="s">
        <v>5907</v>
      </c>
      <c r="J2296" s="12" t="str">
        <f>HYPERLINK("https://www.boe.es/gazeta/dias/1803/07/05/pdfs/GMD-1803-53.pdf#page=3","Abrir facsímil")</f>
        <v>Abrir facsímil</v>
      </c>
      <c r="K2296" s="15" t="s">
        <v>23</v>
      </c>
    </row>
    <row r="2297" spans="1:11" ht="42" customHeight="1">
      <c r="A2297" s="4" t="s">
        <v>5908</v>
      </c>
      <c r="B2297" s="5" t="s">
        <v>5908</v>
      </c>
      <c r="C2297" s="5" t="s">
        <v>40</v>
      </c>
      <c r="D2297" s="5" t="s">
        <v>41</v>
      </c>
      <c r="E2297" s="5" t="s">
        <v>261</v>
      </c>
      <c r="F2297" s="9">
        <v>70</v>
      </c>
      <c r="G2297" s="9">
        <v>763</v>
      </c>
      <c r="H2297" s="5" t="s">
        <v>21</v>
      </c>
      <c r="I2297" s="5" t="s">
        <v>5909</v>
      </c>
      <c r="J2297" s="12" t="str">
        <f>HYPERLINK("https://www.boe.es/gazeta/dias/1803/09/02/pdfs/GMD-1803-70.pdf#page=3","Abrir facsímil")</f>
        <v>Abrir facsímil</v>
      </c>
      <c r="K2297" s="15" t="s">
        <v>23</v>
      </c>
    </row>
    <row r="2298" spans="1:11" ht="42" customHeight="1">
      <c r="A2298" s="4" t="s">
        <v>5910</v>
      </c>
      <c r="B2298" s="5" t="s">
        <v>5911</v>
      </c>
      <c r="C2298" s="5" t="s">
        <v>40</v>
      </c>
      <c r="D2298" s="5" t="s">
        <v>41</v>
      </c>
      <c r="E2298" s="5" t="s">
        <v>57</v>
      </c>
      <c r="F2298" s="9">
        <v>51</v>
      </c>
      <c r="G2298" s="9">
        <v>546</v>
      </c>
      <c r="H2298" s="5" t="s">
        <v>21</v>
      </c>
      <c r="I2298" s="5" t="s">
        <v>5912</v>
      </c>
      <c r="J2298" s="12" t="str">
        <f>HYPERLINK("https://www.boe.es/gazeta/dias/1803/06/28/pdfs/GMD-1803-51.pdf#page=2","Abrir facsímil")</f>
        <v>Abrir facsímil</v>
      </c>
      <c r="K2298" s="15" t="s">
        <v>23</v>
      </c>
    </row>
    <row r="2299" spans="1:11" ht="42" customHeight="1">
      <c r="A2299" s="4" t="s">
        <v>5913</v>
      </c>
      <c r="B2299" s="5" t="s">
        <v>5913</v>
      </c>
      <c r="C2299" s="5" t="s">
        <v>40</v>
      </c>
      <c r="D2299" s="5" t="s">
        <v>41</v>
      </c>
      <c r="E2299" s="5" t="s">
        <v>285</v>
      </c>
      <c r="F2299" s="9">
        <v>5</v>
      </c>
      <c r="G2299" s="9">
        <v>41</v>
      </c>
      <c r="H2299" s="5" t="s">
        <v>21</v>
      </c>
      <c r="I2299" s="5" t="s">
        <v>5914</v>
      </c>
      <c r="J2299" s="12" t="str">
        <f>HYPERLINK("https://www.boe.es/gazeta/dias/1803/01/18/pdfs/GMD-1803-5.pdf#page=5","Abrir facsímil")</f>
        <v>Abrir facsímil</v>
      </c>
      <c r="K2299" s="15" t="s">
        <v>23</v>
      </c>
    </row>
    <row r="2300" spans="1:11" ht="42" customHeight="1">
      <c r="A2300" s="4" t="s">
        <v>5915</v>
      </c>
      <c r="B2300" s="5" t="s">
        <v>5916</v>
      </c>
      <c r="C2300" s="5" t="s">
        <v>40</v>
      </c>
      <c r="D2300" s="5" t="s">
        <v>41</v>
      </c>
      <c r="E2300" s="5" t="s">
        <v>32</v>
      </c>
      <c r="F2300" s="9">
        <v>74</v>
      </c>
      <c r="G2300" s="9">
        <v>798</v>
      </c>
      <c r="H2300" s="5" t="s">
        <v>21</v>
      </c>
      <c r="I2300" s="5" t="s">
        <v>5917</v>
      </c>
      <c r="J2300" s="12" t="str">
        <f>HYPERLINK("https://www.boe.es/gazeta/dias/1803/09/13/pdfs/GMD-1803-74.pdf#page=2","Abrir facsímil")</f>
        <v>Abrir facsímil</v>
      </c>
      <c r="K2300" s="15" t="s">
        <v>23</v>
      </c>
    </row>
    <row r="2301" spans="1:11" ht="42" customHeight="1">
      <c r="A2301" s="4" t="s">
        <v>5918</v>
      </c>
      <c r="B2301" s="5" t="s">
        <v>5919</v>
      </c>
      <c r="C2301" s="5" t="s">
        <v>40</v>
      </c>
      <c r="D2301" s="5" t="s">
        <v>41</v>
      </c>
      <c r="E2301" s="5" t="s">
        <v>285</v>
      </c>
      <c r="F2301" s="9">
        <v>5</v>
      </c>
      <c r="G2301" s="9">
        <v>40</v>
      </c>
      <c r="H2301" s="5" t="s">
        <v>21</v>
      </c>
      <c r="I2301" s="5" t="s">
        <v>5920</v>
      </c>
      <c r="J2301" s="12" t="str">
        <f>HYPERLINK("https://www.boe.es/gazeta/dias/1803/01/18/pdfs/GMD-1803-5.pdf#page=4","Abrir facsímil")</f>
        <v>Abrir facsímil</v>
      </c>
      <c r="K2301" s="15" t="s">
        <v>23</v>
      </c>
    </row>
    <row r="2302" spans="1:11" ht="42" customHeight="1">
      <c r="A2302" s="4" t="s">
        <v>5918</v>
      </c>
      <c r="B2302" s="5" t="s">
        <v>5919</v>
      </c>
      <c r="C2302" s="5" t="s">
        <v>40</v>
      </c>
      <c r="D2302" s="5" t="s">
        <v>41</v>
      </c>
      <c r="E2302" s="5" t="s">
        <v>93</v>
      </c>
      <c r="F2302" s="9">
        <v>43</v>
      </c>
      <c r="G2302" s="9">
        <v>447</v>
      </c>
      <c r="H2302" s="5" t="s">
        <v>21</v>
      </c>
      <c r="I2302" s="5" t="s">
        <v>5921</v>
      </c>
      <c r="J2302" s="12" t="str">
        <f>HYPERLINK("https://www.boe.es/gazeta/dias/1803/05/31/pdfs/GMD-1803-43.pdf#page=7","Abrir facsímil")</f>
        <v>Abrir facsímil</v>
      </c>
      <c r="K2302" s="15" t="s">
        <v>23</v>
      </c>
    </row>
    <row r="2303" spans="1:11" ht="42" customHeight="1">
      <c r="A2303" s="4" t="s">
        <v>5918</v>
      </c>
      <c r="B2303" s="5" t="s">
        <v>5919</v>
      </c>
      <c r="C2303" s="5" t="s">
        <v>40</v>
      </c>
      <c r="D2303" s="5" t="s">
        <v>41</v>
      </c>
      <c r="E2303" s="5" t="s">
        <v>293</v>
      </c>
      <c r="F2303" s="9">
        <v>45</v>
      </c>
      <c r="G2303" s="9">
        <v>471</v>
      </c>
      <c r="H2303" s="5" t="s">
        <v>21</v>
      </c>
      <c r="I2303" s="5" t="s">
        <v>5922</v>
      </c>
      <c r="J2303" s="12" t="str">
        <f>HYPERLINK("https://www.boe.es/gazeta/dias/1803/06/07/pdfs/GMD-1803-45.pdf#page=7","Abrir facsímil")</f>
        <v>Abrir facsímil</v>
      </c>
      <c r="K2303" s="15" t="s">
        <v>23</v>
      </c>
    </row>
    <row r="2304" spans="1:11" ht="42" customHeight="1">
      <c r="A2304" s="4" t="s">
        <v>5918</v>
      </c>
      <c r="B2304" s="5" t="s">
        <v>5919</v>
      </c>
      <c r="C2304" s="5" t="s">
        <v>40</v>
      </c>
      <c r="D2304" s="5" t="s">
        <v>41</v>
      </c>
      <c r="E2304" s="5" t="s">
        <v>293</v>
      </c>
      <c r="F2304" s="9">
        <v>45</v>
      </c>
      <c r="G2304" s="9">
        <v>472</v>
      </c>
      <c r="H2304" s="5" t="s">
        <v>21</v>
      </c>
      <c r="I2304" s="5" t="s">
        <v>5923</v>
      </c>
      <c r="J2304" s="12" t="str">
        <f>HYPERLINK("https://www.boe.es/gazeta/dias/1803/06/07/pdfs/GMD-1803-45.pdf#page=8","Abrir facsímil")</f>
        <v>Abrir facsímil</v>
      </c>
      <c r="K2304" s="15" t="s">
        <v>23</v>
      </c>
    </row>
    <row r="2305" spans="1:11" ht="42" customHeight="1">
      <c r="A2305" s="4" t="s">
        <v>5918</v>
      </c>
      <c r="B2305" s="5" t="s">
        <v>5919</v>
      </c>
      <c r="C2305" s="5" t="s">
        <v>26</v>
      </c>
      <c r="D2305" s="5" t="s">
        <v>27</v>
      </c>
      <c r="E2305" s="5" t="s">
        <v>477</v>
      </c>
      <c r="F2305" s="9">
        <v>48</v>
      </c>
      <c r="G2305" s="9">
        <v>501</v>
      </c>
      <c r="H2305" s="5" t="s">
        <v>21</v>
      </c>
      <c r="I2305" s="5" t="s">
        <v>5924</v>
      </c>
      <c r="J2305" s="12" t="str">
        <f>HYPERLINK("https://www.boe.es/gazeta/dias/1803/06/17/pdfs/GMD-1803-48.pdf#page=1","Abrir facsímil")</f>
        <v>Abrir facsímil</v>
      </c>
      <c r="K2305" s="15" t="s">
        <v>23</v>
      </c>
    </row>
    <row r="2306" spans="1:11" ht="42" customHeight="1">
      <c r="A2306" s="4" t="s">
        <v>5918</v>
      </c>
      <c r="B2306" s="5" t="s">
        <v>5919</v>
      </c>
      <c r="C2306" s="5" t="s">
        <v>26</v>
      </c>
      <c r="D2306" s="5" t="s">
        <v>27</v>
      </c>
      <c r="E2306" s="5" t="s">
        <v>477</v>
      </c>
      <c r="F2306" s="9">
        <v>48</v>
      </c>
      <c r="G2306" s="9">
        <v>502</v>
      </c>
      <c r="H2306" s="5" t="s">
        <v>21</v>
      </c>
      <c r="I2306" s="5" t="s">
        <v>5925</v>
      </c>
      <c r="J2306" s="12" t="str">
        <f>HYPERLINK("https://www.boe.es/gazeta/dias/1803/06/17/pdfs/GMD-1803-48.pdf#page=2","Abrir facsímil")</f>
        <v>Abrir facsímil</v>
      </c>
      <c r="K2306" s="15" t="s">
        <v>23</v>
      </c>
    </row>
    <row r="2307" spans="1:11" ht="42" customHeight="1">
      <c r="A2307" s="4" t="s">
        <v>5918</v>
      </c>
      <c r="B2307" s="5" t="s">
        <v>5919</v>
      </c>
      <c r="C2307" s="5" t="s">
        <v>40</v>
      </c>
      <c r="D2307" s="5" t="s">
        <v>41</v>
      </c>
      <c r="E2307" s="5" t="s">
        <v>85</v>
      </c>
      <c r="F2307" s="9">
        <v>49</v>
      </c>
      <c r="G2307" s="9">
        <v>515</v>
      </c>
      <c r="H2307" s="5" t="s">
        <v>21</v>
      </c>
      <c r="I2307" s="5" t="s">
        <v>5926</v>
      </c>
      <c r="J2307" s="12" t="str">
        <f>HYPERLINK("https://www.boe.es/gazeta/dias/1803/06/21/pdfs/GMD-1803-49.pdf#page=3","Abrir facsímil")</f>
        <v>Abrir facsímil</v>
      </c>
      <c r="K2307" s="15" t="s">
        <v>23</v>
      </c>
    </row>
    <row r="2308" spans="1:11" ht="42" customHeight="1">
      <c r="A2308" s="4" t="s">
        <v>5918</v>
      </c>
      <c r="B2308" s="5" t="s">
        <v>5919</v>
      </c>
      <c r="C2308" s="5" t="s">
        <v>46</v>
      </c>
      <c r="D2308" s="5" t="s">
        <v>19</v>
      </c>
      <c r="E2308" s="5" t="s">
        <v>519</v>
      </c>
      <c r="F2308" s="9">
        <v>50</v>
      </c>
      <c r="G2308" s="9">
        <v>537</v>
      </c>
      <c r="H2308" s="5" t="s">
        <v>21</v>
      </c>
      <c r="I2308" s="5" t="s">
        <v>5927</v>
      </c>
      <c r="J2308" s="12" t="str">
        <f>HYPERLINK("https://www.boe.es/gazeta/dias/1803/06/24/pdfs/GMD-1803-50.pdf#page=5","Abrir facsímil")</f>
        <v>Abrir facsímil</v>
      </c>
      <c r="K2308" s="15" t="s">
        <v>23</v>
      </c>
    </row>
    <row r="2309" spans="1:11" ht="42" customHeight="1">
      <c r="A2309" s="4" t="s">
        <v>5918</v>
      </c>
      <c r="B2309" s="5" t="s">
        <v>5919</v>
      </c>
      <c r="C2309" s="5" t="s">
        <v>40</v>
      </c>
      <c r="D2309" s="5" t="s">
        <v>41</v>
      </c>
      <c r="E2309" s="5" t="s">
        <v>619</v>
      </c>
      <c r="F2309" s="9">
        <v>53</v>
      </c>
      <c r="G2309" s="9">
        <v>575</v>
      </c>
      <c r="H2309" s="5" t="s">
        <v>21</v>
      </c>
      <c r="I2309" s="5" t="s">
        <v>5928</v>
      </c>
      <c r="J2309" s="12" t="str">
        <f>HYPERLINK("https://www.boe.es/gazeta/dias/1803/07/05/pdfs/GMD-1803-53.pdf#page=7","Abrir facsímil")</f>
        <v>Abrir facsímil</v>
      </c>
      <c r="K2309" s="15" t="s">
        <v>23</v>
      </c>
    </row>
    <row r="2310" spans="1:11" ht="42" customHeight="1">
      <c r="A2310" s="4" t="s">
        <v>5918</v>
      </c>
      <c r="B2310" s="5" t="s">
        <v>5919</v>
      </c>
      <c r="C2310" s="5" t="s">
        <v>40</v>
      </c>
      <c r="D2310" s="5" t="s">
        <v>41</v>
      </c>
      <c r="E2310" s="5" t="s">
        <v>328</v>
      </c>
      <c r="F2310" s="9">
        <v>54</v>
      </c>
      <c r="G2310" s="9">
        <v>582</v>
      </c>
      <c r="H2310" s="5" t="s">
        <v>21</v>
      </c>
      <c r="I2310" s="5" t="s">
        <v>5929</v>
      </c>
      <c r="J2310" s="12" t="str">
        <f>HYPERLINK("https://www.boe.es/gazeta/dias/1803/07/08/pdfs/GMD-1803-54.pdf#page=2","Abrir facsímil")</f>
        <v>Abrir facsímil</v>
      </c>
      <c r="K2310" s="15" t="s">
        <v>23</v>
      </c>
    </row>
    <row r="2311" spans="1:11" ht="42" customHeight="1">
      <c r="A2311" s="4" t="s">
        <v>5930</v>
      </c>
      <c r="B2311" s="5" t="s">
        <v>5931</v>
      </c>
      <c r="C2311" s="5" t="s">
        <v>51</v>
      </c>
      <c r="D2311" s="5" t="s">
        <v>52</v>
      </c>
      <c r="E2311" s="5" t="s">
        <v>340</v>
      </c>
      <c r="F2311" s="9">
        <v>55</v>
      </c>
      <c r="G2311" s="9">
        <v>596</v>
      </c>
      <c r="H2311" s="5" t="s">
        <v>21</v>
      </c>
      <c r="I2311" s="5" t="s">
        <v>5932</v>
      </c>
      <c r="J2311" s="12" t="str">
        <f>HYPERLINK("https://www.boe.es/gazeta/dias/1803/07/12/pdfs/GMD-1803-55.pdf#page=4","Abrir facsímil")</f>
        <v>Abrir facsímil</v>
      </c>
      <c r="K2311" s="15" t="s">
        <v>23</v>
      </c>
    </row>
    <row r="2312" spans="1:11" ht="42" customHeight="1">
      <c r="A2312" s="4" t="s">
        <v>5918</v>
      </c>
      <c r="B2312" s="5" t="s">
        <v>5919</v>
      </c>
      <c r="C2312" s="5" t="s">
        <v>51</v>
      </c>
      <c r="D2312" s="5" t="s">
        <v>52</v>
      </c>
      <c r="E2312" s="5" t="s">
        <v>340</v>
      </c>
      <c r="F2312" s="9">
        <v>55</v>
      </c>
      <c r="G2312" s="9">
        <v>599</v>
      </c>
      <c r="H2312" s="5" t="s">
        <v>21</v>
      </c>
      <c r="I2312" s="5" t="s">
        <v>5933</v>
      </c>
      <c r="J2312" s="12" t="str">
        <f>HYPERLINK("https://www.boe.es/gazeta/dias/1803/07/12/pdfs/GMD-1803-55.pdf#page=7","Abrir facsímil")</f>
        <v>Abrir facsímil</v>
      </c>
      <c r="K2312" s="15" t="s">
        <v>23</v>
      </c>
    </row>
    <row r="2313" spans="1:11" ht="42" customHeight="1">
      <c r="A2313" s="4" t="s">
        <v>5918</v>
      </c>
      <c r="B2313" s="5" t="s">
        <v>5919</v>
      </c>
      <c r="C2313" s="5" t="s">
        <v>46</v>
      </c>
      <c r="D2313" s="5" t="s">
        <v>19</v>
      </c>
      <c r="E2313" s="5" t="s">
        <v>75</v>
      </c>
      <c r="F2313" s="9">
        <v>56</v>
      </c>
      <c r="G2313" s="9">
        <v>606</v>
      </c>
      <c r="H2313" s="5" t="s">
        <v>21</v>
      </c>
      <c r="I2313" s="5" t="s">
        <v>5934</v>
      </c>
      <c r="J2313" s="12" t="str">
        <f>HYPERLINK("https://www.boe.es/gazeta/dias/1803/07/15/pdfs/GMD-1803-56.pdf#page=2","Abrir facsímil")</f>
        <v>Abrir facsímil</v>
      </c>
      <c r="K2313" s="15" t="s">
        <v>23</v>
      </c>
    </row>
    <row r="2314" spans="1:11" ht="42" customHeight="1">
      <c r="A2314" s="4" t="s">
        <v>5918</v>
      </c>
      <c r="B2314" s="5" t="s">
        <v>5919</v>
      </c>
      <c r="C2314" s="5" t="s">
        <v>40</v>
      </c>
      <c r="D2314" s="5" t="s">
        <v>41</v>
      </c>
      <c r="E2314" s="5" t="s">
        <v>882</v>
      </c>
      <c r="F2314" s="9">
        <v>60</v>
      </c>
      <c r="G2314" s="9">
        <v>650</v>
      </c>
      <c r="H2314" s="5" t="s">
        <v>21</v>
      </c>
      <c r="I2314" s="5" t="s">
        <v>5935</v>
      </c>
      <c r="J2314" s="12" t="str">
        <f>HYPERLINK("https://www.boe.es/gazeta/dias/1803/07/29/pdfs/GMD-1803-60.pdf#page=2","Abrir facsímil")</f>
        <v>Abrir facsímil</v>
      </c>
      <c r="K2314" s="15" t="s">
        <v>23</v>
      </c>
    </row>
    <row r="2315" spans="1:11" ht="42" customHeight="1">
      <c r="A2315" s="4" t="s">
        <v>5918</v>
      </c>
      <c r="B2315" s="5" t="s">
        <v>5919</v>
      </c>
      <c r="C2315" s="5" t="s">
        <v>51</v>
      </c>
      <c r="D2315" s="5" t="s">
        <v>52</v>
      </c>
      <c r="E2315" s="5" t="s">
        <v>391</v>
      </c>
      <c r="F2315" s="9">
        <v>61</v>
      </c>
      <c r="G2315" s="9">
        <v>665</v>
      </c>
      <c r="H2315" s="5" t="s">
        <v>21</v>
      </c>
      <c r="I2315" s="5" t="s">
        <v>5936</v>
      </c>
      <c r="J2315" s="12" t="str">
        <f>HYPERLINK("https://www.boe.es/gazeta/dias/1803/08/02/pdfs/GMD-1803-61.pdf#page=5","Abrir facsímil")</f>
        <v>Abrir facsímil</v>
      </c>
      <c r="K2315" s="15" t="s">
        <v>23</v>
      </c>
    </row>
    <row r="2316" spans="1:11" ht="42" customHeight="1">
      <c r="A2316" s="4" t="s">
        <v>5918</v>
      </c>
      <c r="B2316" s="5" t="s">
        <v>5919</v>
      </c>
      <c r="C2316" s="5" t="s">
        <v>26</v>
      </c>
      <c r="D2316" s="5" t="s">
        <v>27</v>
      </c>
      <c r="E2316" s="5" t="s">
        <v>77</v>
      </c>
      <c r="F2316" s="9">
        <v>64</v>
      </c>
      <c r="G2316" s="9">
        <v>695</v>
      </c>
      <c r="H2316" s="5" t="s">
        <v>21</v>
      </c>
      <c r="I2316" s="5" t="s">
        <v>5937</v>
      </c>
      <c r="J2316" s="12" t="str">
        <f>HYPERLINK("https://www.boe.es/gazeta/dias/1803/08/12/pdfs/GMD-1803-64.pdf#page=3","Abrir facsímil")</f>
        <v>Abrir facsímil</v>
      </c>
      <c r="K2316" s="15" t="s">
        <v>23</v>
      </c>
    </row>
    <row r="2317" spans="1:11" ht="42" customHeight="1">
      <c r="A2317" s="4" t="s">
        <v>5918</v>
      </c>
      <c r="B2317" s="5" t="s">
        <v>5919</v>
      </c>
      <c r="C2317" s="5" t="s">
        <v>80</v>
      </c>
      <c r="D2317" s="5" t="s">
        <v>81</v>
      </c>
      <c r="E2317" s="5" t="s">
        <v>910</v>
      </c>
      <c r="F2317" s="9">
        <v>66</v>
      </c>
      <c r="G2317" s="9">
        <v>713</v>
      </c>
      <c r="H2317" s="5" t="s">
        <v>21</v>
      </c>
      <c r="I2317" s="5" t="s">
        <v>5938</v>
      </c>
      <c r="J2317" s="12" t="str">
        <f>HYPERLINK("https://www.boe.es/gazeta/dias/1803/08/19/pdfs/GMD-1803-66.pdf#page=1","Abrir facsímil")</f>
        <v>Abrir facsímil</v>
      </c>
      <c r="K2317" s="15" t="s">
        <v>23</v>
      </c>
    </row>
    <row r="2318" spans="1:11" ht="42" customHeight="1">
      <c r="A2318" s="4" t="s">
        <v>5918</v>
      </c>
      <c r="B2318" s="5" t="s">
        <v>5919</v>
      </c>
      <c r="C2318" s="5" t="s">
        <v>26</v>
      </c>
      <c r="D2318" s="5" t="s">
        <v>27</v>
      </c>
      <c r="E2318" s="5" t="s">
        <v>61</v>
      </c>
      <c r="F2318" s="9">
        <v>67</v>
      </c>
      <c r="G2318" s="9">
        <v>722</v>
      </c>
      <c r="H2318" s="5" t="s">
        <v>21</v>
      </c>
      <c r="I2318" s="5" t="s">
        <v>5939</v>
      </c>
      <c r="J2318" s="12" t="str">
        <f>HYPERLINK("https://www.boe.es/gazeta/dias/1803/08/23/pdfs/GMD-1803-67.pdf#page=2","Abrir facsímil")</f>
        <v>Abrir facsímil</v>
      </c>
      <c r="K2318" s="15" t="s">
        <v>23</v>
      </c>
    </row>
    <row r="2319" spans="1:11" ht="42" customHeight="1">
      <c r="A2319" s="4" t="s">
        <v>5918</v>
      </c>
      <c r="B2319" s="5" t="s">
        <v>5919</v>
      </c>
      <c r="C2319" s="5" t="s">
        <v>40</v>
      </c>
      <c r="D2319" s="5" t="s">
        <v>41</v>
      </c>
      <c r="E2319" s="5" t="s">
        <v>439</v>
      </c>
      <c r="F2319" s="9">
        <v>76</v>
      </c>
      <c r="G2319" s="9">
        <v>818</v>
      </c>
      <c r="H2319" s="5" t="s">
        <v>21</v>
      </c>
      <c r="I2319" s="5" t="s">
        <v>5940</v>
      </c>
      <c r="J2319" s="12" t="str">
        <f>HYPERLINK("https://www.boe.es/gazeta/dias/1803/09/20/pdfs/GMD-1803-76.pdf#page=6","Abrir facsímil")</f>
        <v>Abrir facsímil</v>
      </c>
      <c r="K2319" s="15" t="s">
        <v>23</v>
      </c>
    </row>
    <row r="2320" spans="1:11" ht="42" customHeight="1">
      <c r="A2320" s="4" t="s">
        <v>5918</v>
      </c>
      <c r="B2320" s="5" t="s">
        <v>5919</v>
      </c>
      <c r="C2320" s="5" t="s">
        <v>40</v>
      </c>
      <c r="D2320" s="5" t="s">
        <v>41</v>
      </c>
      <c r="E2320" s="5" t="s">
        <v>373</v>
      </c>
      <c r="F2320" s="9">
        <v>77</v>
      </c>
      <c r="G2320" s="9">
        <v>828</v>
      </c>
      <c r="H2320" s="5" t="s">
        <v>21</v>
      </c>
      <c r="I2320" s="5" t="s">
        <v>5941</v>
      </c>
      <c r="J2320" s="12" t="str">
        <f>HYPERLINK("https://www.boe.es/gazeta/dias/1803/09/23/pdfs/GMD-1803-77.pdf#page=4","Abrir facsímil")</f>
        <v>Abrir facsímil</v>
      </c>
      <c r="K2320" s="15" t="s">
        <v>23</v>
      </c>
    </row>
    <row r="2321" spans="1:11" ht="42" customHeight="1">
      <c r="A2321" s="4" t="s">
        <v>5918</v>
      </c>
      <c r="B2321" s="5" t="s">
        <v>5919</v>
      </c>
      <c r="C2321" s="5" t="s">
        <v>40</v>
      </c>
      <c r="D2321" s="5" t="s">
        <v>41</v>
      </c>
      <c r="E2321" s="5" t="s">
        <v>726</v>
      </c>
      <c r="F2321" s="9">
        <v>78</v>
      </c>
      <c r="G2321" s="9">
        <v>841</v>
      </c>
      <c r="H2321" s="5" t="s">
        <v>21</v>
      </c>
      <c r="I2321" s="5" t="s">
        <v>5942</v>
      </c>
      <c r="J2321" s="12" t="str">
        <f>HYPERLINK("https://www.boe.es/gazeta/dias/1803/09/27/pdfs/GMD-1803-78.pdf#page=5","Abrir facsímil")</f>
        <v>Abrir facsímil</v>
      </c>
      <c r="K2321" s="15" t="s">
        <v>23</v>
      </c>
    </row>
    <row r="2322" spans="1:11" ht="42" customHeight="1">
      <c r="A2322" s="4" t="s">
        <v>5918</v>
      </c>
      <c r="B2322" s="5" t="s">
        <v>5919</v>
      </c>
      <c r="C2322" s="5" t="s">
        <v>80</v>
      </c>
      <c r="D2322" s="5" t="s">
        <v>81</v>
      </c>
      <c r="E2322" s="5" t="s">
        <v>784</v>
      </c>
      <c r="F2322" s="9">
        <v>86</v>
      </c>
      <c r="G2322" s="9">
        <v>925</v>
      </c>
      <c r="H2322" s="5" t="s">
        <v>21</v>
      </c>
      <c r="I2322" s="5" t="s">
        <v>5943</v>
      </c>
      <c r="J2322" s="12" t="str">
        <f>HYPERLINK("https://www.boe.es/gazeta/dias/1803/10/25/pdfs/GMD-1803-86.pdf#page=5","Abrir facsímil")</f>
        <v>Abrir facsímil</v>
      </c>
      <c r="K2322" s="15" t="s">
        <v>23</v>
      </c>
    </row>
    <row r="2323" spans="1:11" ht="42" customHeight="1">
      <c r="A2323" s="4" t="s">
        <v>5918</v>
      </c>
      <c r="B2323" s="5" t="s">
        <v>5919</v>
      </c>
      <c r="C2323" s="5" t="s">
        <v>40</v>
      </c>
      <c r="D2323" s="5" t="s">
        <v>41</v>
      </c>
      <c r="E2323" s="5" t="s">
        <v>28</v>
      </c>
      <c r="F2323" s="9">
        <v>92</v>
      </c>
      <c r="G2323" s="9">
        <v>982</v>
      </c>
      <c r="H2323" s="5" t="s">
        <v>21</v>
      </c>
      <c r="I2323" s="5" t="s">
        <v>5944</v>
      </c>
      <c r="J2323" s="12" t="str">
        <f>HYPERLINK("https://www.boe.es/gazeta/dias/1803/11/15/pdfs/GMD-1803-92.pdf#page=2","Abrir facsímil")</f>
        <v>Abrir facsímil</v>
      </c>
      <c r="K2323" s="15" t="s">
        <v>23</v>
      </c>
    </row>
    <row r="2324" spans="1:11" ht="42" customHeight="1">
      <c r="A2324" s="4" t="s">
        <v>5945</v>
      </c>
      <c r="B2324" s="5" t="s">
        <v>5946</v>
      </c>
      <c r="C2324" s="5" t="s">
        <v>40</v>
      </c>
      <c r="D2324" s="5" t="s">
        <v>41</v>
      </c>
      <c r="E2324" s="5" t="s">
        <v>263</v>
      </c>
      <c r="F2324" s="9">
        <v>75</v>
      </c>
      <c r="G2324" s="9">
        <v>806</v>
      </c>
      <c r="H2324" s="5" t="s">
        <v>21</v>
      </c>
      <c r="I2324" s="5" t="s">
        <v>5947</v>
      </c>
      <c r="J2324" s="12" t="str">
        <f>HYPERLINK("https://www.boe.es/gazeta/dias/1803/09/16/pdfs/GMD-1803-75.pdf#page=2","Abrir facsímil")</f>
        <v>Abrir facsímil</v>
      </c>
      <c r="K2324" s="15" t="s">
        <v>23</v>
      </c>
    </row>
    <row r="2325" spans="1:11" ht="42" customHeight="1">
      <c r="A2325" s="4" t="s">
        <v>5948</v>
      </c>
      <c r="B2325" s="5" t="s">
        <v>5949</v>
      </c>
      <c r="C2325" s="5" t="s">
        <v>26</v>
      </c>
      <c r="D2325" s="5" t="s">
        <v>27</v>
      </c>
      <c r="E2325" s="5" t="s">
        <v>477</v>
      </c>
      <c r="F2325" s="9">
        <v>48</v>
      </c>
      <c r="G2325" s="9">
        <v>501</v>
      </c>
      <c r="H2325" s="5" t="s">
        <v>21</v>
      </c>
      <c r="I2325" s="5" t="s">
        <v>5950</v>
      </c>
      <c r="J2325" s="12" t="str">
        <f>HYPERLINK("https://www.boe.es/gazeta/dias/1803/06/17/pdfs/GMD-1803-48.pdf#page=1","Abrir facsímil")</f>
        <v>Abrir facsímil</v>
      </c>
      <c r="K2325" s="15" t="s">
        <v>23</v>
      </c>
    </row>
    <row r="2326" spans="1:11" ht="42" customHeight="1">
      <c r="A2326" s="4" t="s">
        <v>5951</v>
      </c>
      <c r="B2326" s="5" t="s">
        <v>5952</v>
      </c>
      <c r="C2326" s="5" t="s">
        <v>40</v>
      </c>
      <c r="D2326" s="5" t="s">
        <v>41</v>
      </c>
      <c r="E2326" s="5" t="s">
        <v>47</v>
      </c>
      <c r="F2326" s="9">
        <v>33</v>
      </c>
      <c r="G2326" s="9">
        <v>341</v>
      </c>
      <c r="H2326" s="5" t="s">
        <v>21</v>
      </c>
      <c r="I2326" s="5" t="s">
        <v>5953</v>
      </c>
      <c r="J2326" s="12" t="str">
        <f>HYPERLINK("https://www.boe.es/gazeta/dias/1803/04/26/pdfs/GMD-1803-33.pdf#page=1","Abrir facsímil")</f>
        <v>Abrir facsímil</v>
      </c>
      <c r="K2326" s="15" t="s">
        <v>23</v>
      </c>
    </row>
    <row r="2327" spans="1:11" ht="42" customHeight="1">
      <c r="A2327" s="4" t="s">
        <v>5954</v>
      </c>
      <c r="B2327" s="5" t="s">
        <v>5955</v>
      </c>
      <c r="C2327" s="5" t="s">
        <v>26</v>
      </c>
      <c r="D2327" s="5" t="s">
        <v>27</v>
      </c>
      <c r="E2327" s="5" t="s">
        <v>571</v>
      </c>
      <c r="F2327" s="9">
        <v>103</v>
      </c>
      <c r="G2327" s="9">
        <v>1105</v>
      </c>
      <c r="H2327" s="5" t="s">
        <v>21</v>
      </c>
      <c r="I2327" s="5" t="s">
        <v>5956</v>
      </c>
      <c r="J2327" s="12" t="str">
        <f>HYPERLINK("https://www.boe.es/gazeta/dias/1803/12/23/pdfs/GMD-1803-103.pdf#page=5","Abrir facsímil")</f>
        <v>Abrir facsímil</v>
      </c>
      <c r="K2327" s="15" t="s">
        <v>23</v>
      </c>
    </row>
    <row r="2328" spans="1:11" ht="42" customHeight="1">
      <c r="A2328" s="4" t="s">
        <v>5957</v>
      </c>
      <c r="B2328" s="5" t="s">
        <v>5957</v>
      </c>
      <c r="C2328" s="5" t="s">
        <v>26</v>
      </c>
      <c r="D2328" s="5" t="s">
        <v>27</v>
      </c>
      <c r="E2328" s="5" t="s">
        <v>148</v>
      </c>
      <c r="F2328" s="9">
        <v>15</v>
      </c>
      <c r="G2328" s="9">
        <v>157</v>
      </c>
      <c r="H2328" s="5" t="s">
        <v>21</v>
      </c>
      <c r="I2328" s="5" t="s">
        <v>5958</v>
      </c>
      <c r="J2328" s="12" t="str">
        <f>HYPERLINK("https://www.boe.es/gazeta/dias/1803/02/22/pdfs/GMD-1803-15.pdf#page=9","Abrir facsímil")</f>
        <v>Abrir facsímil</v>
      </c>
      <c r="K2328" s="15" t="s">
        <v>23</v>
      </c>
    </row>
    <row r="2329" spans="1:11" ht="42" customHeight="1">
      <c r="A2329" s="4" t="s">
        <v>5959</v>
      </c>
      <c r="B2329" s="5" t="s">
        <v>5960</v>
      </c>
      <c r="C2329" s="5" t="s">
        <v>80</v>
      </c>
      <c r="D2329" s="5" t="s">
        <v>81</v>
      </c>
      <c r="E2329" s="5" t="s">
        <v>203</v>
      </c>
      <c r="F2329" s="9">
        <v>32</v>
      </c>
      <c r="G2329" s="9">
        <v>330</v>
      </c>
      <c r="H2329" s="5" t="s">
        <v>21</v>
      </c>
      <c r="I2329" s="5" t="s">
        <v>5961</v>
      </c>
      <c r="J2329" s="12" t="str">
        <f>HYPERLINK("https://www.boe.es/gazeta/dias/1803/04/22/pdfs/GMD-1803-32.pdf#page=2","Abrir facsímil")</f>
        <v>Abrir facsímil</v>
      </c>
      <c r="K2329" s="15" t="s">
        <v>23</v>
      </c>
    </row>
    <row r="2330" spans="1:11" ht="42" customHeight="1">
      <c r="A2330" s="4" t="s">
        <v>5962</v>
      </c>
      <c r="B2330" s="5" t="s">
        <v>5963</v>
      </c>
      <c r="C2330" s="5" t="s">
        <v>40</v>
      </c>
      <c r="D2330" s="5" t="s">
        <v>41</v>
      </c>
      <c r="E2330" s="5" t="s">
        <v>373</v>
      </c>
      <c r="F2330" s="9">
        <v>77</v>
      </c>
      <c r="G2330" s="9">
        <v>825</v>
      </c>
      <c r="H2330" s="5" t="s">
        <v>21</v>
      </c>
      <c r="I2330" s="5" t="s">
        <v>5964</v>
      </c>
      <c r="J2330" s="12" t="str">
        <f>HYPERLINK("https://www.boe.es/gazeta/dias/1803/09/23/pdfs/GMD-1803-77.pdf#page=1","Abrir facsímil")</f>
        <v>Abrir facsímil</v>
      </c>
      <c r="K2330" s="15" t="s">
        <v>23</v>
      </c>
    </row>
    <row r="2331" spans="1:11" ht="42" customHeight="1">
      <c r="A2331" s="4" t="s">
        <v>5965</v>
      </c>
      <c r="B2331" s="5" t="s">
        <v>5966</v>
      </c>
      <c r="C2331" s="5" t="s">
        <v>26</v>
      </c>
      <c r="D2331" s="5" t="s">
        <v>27</v>
      </c>
      <c r="E2331" s="5" t="s">
        <v>207</v>
      </c>
      <c r="F2331" s="9">
        <v>27</v>
      </c>
      <c r="G2331" s="9">
        <v>285</v>
      </c>
      <c r="H2331" s="5" t="s">
        <v>21</v>
      </c>
      <c r="I2331" s="5" t="s">
        <v>5967</v>
      </c>
      <c r="J2331" s="12" t="str">
        <f>HYPERLINK("https://www.boe.es/gazeta/dias/1803/04/05/pdfs/GMD-1803-27.pdf#page=1","Abrir facsímil")</f>
        <v>Abrir facsímil</v>
      </c>
      <c r="K2331" s="15" t="s">
        <v>23</v>
      </c>
    </row>
    <row r="2332" spans="1:11" ht="42" customHeight="1">
      <c r="A2332" s="4" t="s">
        <v>5968</v>
      </c>
      <c r="B2332" s="5" t="s">
        <v>5969</v>
      </c>
      <c r="C2332" s="5" t="s">
        <v>26</v>
      </c>
      <c r="D2332" s="5" t="s">
        <v>27</v>
      </c>
      <c r="E2332" s="5" t="s">
        <v>32</v>
      </c>
      <c r="F2332" s="9">
        <v>74</v>
      </c>
      <c r="G2332" s="9">
        <v>802</v>
      </c>
      <c r="H2332" s="5" t="s">
        <v>21</v>
      </c>
      <c r="I2332" s="5" t="s">
        <v>5970</v>
      </c>
      <c r="J2332" s="12" t="str">
        <f>HYPERLINK("https://www.boe.es/gazeta/dias/1803/09/13/pdfs/GMD-1803-74.pdf#page=6","Abrir facsímil")</f>
        <v>Abrir facsímil</v>
      </c>
      <c r="K2332" s="15" t="s">
        <v>23</v>
      </c>
    </row>
    <row r="2333" spans="1:11" ht="42" customHeight="1">
      <c r="A2333" s="4" t="s">
        <v>5971</v>
      </c>
      <c r="B2333" s="5" t="s">
        <v>5972</v>
      </c>
      <c r="C2333" s="5" t="s">
        <v>26</v>
      </c>
      <c r="D2333" s="5" t="s">
        <v>27</v>
      </c>
      <c r="E2333" s="5" t="s">
        <v>321</v>
      </c>
      <c r="F2333" s="9">
        <v>94</v>
      </c>
      <c r="G2333" s="9">
        <v>1010</v>
      </c>
      <c r="H2333" s="5" t="s">
        <v>21</v>
      </c>
      <c r="I2333" s="5" t="s">
        <v>5973</v>
      </c>
      <c r="J2333" s="12" t="str">
        <f>HYPERLINK("https://www.boe.es/gazeta/dias/1803/11/22/pdfs/GMD-1803-94.pdf#page=10","Abrir facsímil")</f>
        <v>Abrir facsímil</v>
      </c>
      <c r="K2333" s="15" t="s">
        <v>23</v>
      </c>
    </row>
    <row r="2334" spans="1:11" ht="42" customHeight="1">
      <c r="A2334" s="4" t="s">
        <v>5974</v>
      </c>
      <c r="B2334" s="5" t="s">
        <v>5975</v>
      </c>
      <c r="C2334" s="5" t="s">
        <v>51</v>
      </c>
      <c r="D2334" s="5" t="s">
        <v>52</v>
      </c>
      <c r="E2334" s="5" t="s">
        <v>231</v>
      </c>
      <c r="F2334" s="9">
        <v>26</v>
      </c>
      <c r="G2334" s="9">
        <v>284</v>
      </c>
      <c r="H2334" s="5" t="s">
        <v>21</v>
      </c>
      <c r="I2334" s="5" t="s">
        <v>5976</v>
      </c>
      <c r="J2334" s="12" t="str">
        <f>HYPERLINK("https://www.boe.es/gazeta/dias/1803/04/01/pdfs/GMD-1803-26.pdf#page=12","Abrir facsímil")</f>
        <v>Abrir facsímil</v>
      </c>
      <c r="K2334" s="15" t="s">
        <v>23</v>
      </c>
    </row>
    <row r="2335" spans="1:11" ht="42" customHeight="1">
      <c r="A2335" s="4" t="s">
        <v>5977</v>
      </c>
      <c r="B2335" s="5" t="s">
        <v>5978</v>
      </c>
      <c r="C2335" s="5" t="s">
        <v>26</v>
      </c>
      <c r="D2335" s="5" t="s">
        <v>27</v>
      </c>
      <c r="E2335" s="5" t="s">
        <v>199</v>
      </c>
      <c r="F2335" s="9">
        <v>88</v>
      </c>
      <c r="G2335" s="9">
        <v>947</v>
      </c>
      <c r="H2335" s="5" t="s">
        <v>21</v>
      </c>
      <c r="I2335" s="5" t="s">
        <v>5979</v>
      </c>
      <c r="J2335" s="12" t="str">
        <f>HYPERLINK("https://www.boe.es/gazeta/dias/1803/11/01/pdfs/GMD-1803-88.pdf#page=7","Abrir facsímil")</f>
        <v>Abrir facsímil</v>
      </c>
      <c r="K2335" s="15" t="s">
        <v>23</v>
      </c>
    </row>
    <row r="2336" spans="1:11" ht="42" customHeight="1">
      <c r="A2336" s="4" t="s">
        <v>5980</v>
      </c>
      <c r="B2336" s="5" t="s">
        <v>5981</v>
      </c>
      <c r="C2336" s="5" t="s">
        <v>26</v>
      </c>
      <c r="D2336" s="5" t="s">
        <v>27</v>
      </c>
      <c r="E2336" s="5" t="s">
        <v>278</v>
      </c>
      <c r="F2336" s="9">
        <v>46</v>
      </c>
      <c r="G2336" s="9">
        <v>486</v>
      </c>
      <c r="H2336" s="5" t="s">
        <v>21</v>
      </c>
      <c r="I2336" s="5" t="s">
        <v>5982</v>
      </c>
      <c r="J2336" s="12" t="str">
        <f>HYPERLINK("https://www.boe.es/gazeta/dias/1803/06/10/pdfs/GMD-1803-46.pdf#page=10","Abrir facsímil")</f>
        <v>Abrir facsímil</v>
      </c>
      <c r="K2336" s="15" t="s">
        <v>23</v>
      </c>
    </row>
    <row r="2337" spans="1:11" ht="42" customHeight="1">
      <c r="A2337" s="4" t="s">
        <v>5983</v>
      </c>
      <c r="B2337" s="5" t="s">
        <v>5984</v>
      </c>
      <c r="C2337" s="5" t="s">
        <v>46</v>
      </c>
      <c r="D2337" s="5" t="s">
        <v>19</v>
      </c>
      <c r="E2337" s="5" t="s">
        <v>57</v>
      </c>
      <c r="F2337" s="9">
        <v>51</v>
      </c>
      <c r="G2337" s="9">
        <v>555</v>
      </c>
      <c r="H2337" s="5" t="s">
        <v>21</v>
      </c>
      <c r="I2337" s="5" t="s">
        <v>5985</v>
      </c>
      <c r="J2337" s="12" t="str">
        <f>HYPERLINK("https://www.boe.es/gazeta/dias/1803/06/28/pdfs/GMD-1803-51.pdf#page=11","Abrir facsímil")</f>
        <v>Abrir facsímil</v>
      </c>
      <c r="K2337" s="15" t="s">
        <v>23</v>
      </c>
    </row>
    <row r="2338" spans="1:11" ht="42" customHeight="1">
      <c r="A2338" s="4" t="s">
        <v>5986</v>
      </c>
      <c r="B2338" s="5" t="s">
        <v>5987</v>
      </c>
      <c r="C2338" s="5" t="s">
        <v>46</v>
      </c>
      <c r="D2338" s="5" t="s">
        <v>19</v>
      </c>
      <c r="E2338" s="5" t="s">
        <v>403</v>
      </c>
      <c r="F2338" s="9">
        <v>91</v>
      </c>
      <c r="G2338" s="9">
        <v>979</v>
      </c>
      <c r="H2338" s="5" t="s">
        <v>21</v>
      </c>
      <c r="I2338" s="5" t="s">
        <v>5988</v>
      </c>
      <c r="J2338" s="12" t="str">
        <f>HYPERLINK("https://www.boe.es/gazeta/dias/1803/11/11/pdfs/GMD-1803-91.pdf#page=11","Abrir facsímil")</f>
        <v>Abrir facsímil</v>
      </c>
      <c r="K2338" s="15" t="s">
        <v>23</v>
      </c>
    </row>
    <row r="2339" spans="1:11" ht="42" customHeight="1">
      <c r="A2339" s="4" t="s">
        <v>5989</v>
      </c>
      <c r="B2339" s="5" t="s">
        <v>5989</v>
      </c>
      <c r="C2339" s="5" t="s">
        <v>46</v>
      </c>
      <c r="D2339" s="5" t="s">
        <v>19</v>
      </c>
      <c r="E2339" s="5" t="s">
        <v>109</v>
      </c>
      <c r="F2339" s="9">
        <v>102</v>
      </c>
      <c r="G2339" s="9">
        <v>1099</v>
      </c>
      <c r="H2339" s="5" t="s">
        <v>21</v>
      </c>
      <c r="I2339" s="5" t="s">
        <v>5990</v>
      </c>
      <c r="J2339" s="12" t="str">
        <f>HYPERLINK("https://www.boe.es/gazeta/dias/1803/12/20/pdfs/GMD-1803-102.pdf#page=11","Abrir facsímil")</f>
        <v>Abrir facsímil</v>
      </c>
      <c r="K2339" s="15" t="s">
        <v>23</v>
      </c>
    </row>
    <row r="2340" spans="1:11" ht="42" customHeight="1">
      <c r="A2340" s="4" t="s">
        <v>5991</v>
      </c>
      <c r="B2340" s="5" t="s">
        <v>5991</v>
      </c>
      <c r="C2340" s="5" t="s">
        <v>46</v>
      </c>
      <c r="D2340" s="5" t="s">
        <v>19</v>
      </c>
      <c r="E2340" s="5" t="s">
        <v>588</v>
      </c>
      <c r="F2340" s="9">
        <v>63</v>
      </c>
      <c r="G2340" s="9">
        <v>688</v>
      </c>
      <c r="H2340" s="5" t="s">
        <v>21</v>
      </c>
      <c r="I2340" s="5" t="s">
        <v>5992</v>
      </c>
      <c r="J2340" s="12" t="str">
        <f>HYPERLINK("https://www.boe.es/gazeta/dias/1803/08/09/pdfs/GMD-1803-63.pdf#page=8","Abrir facsímil")</f>
        <v>Abrir facsímil</v>
      </c>
      <c r="K2340" s="15" t="s">
        <v>23</v>
      </c>
    </row>
    <row r="2341" spans="1:11" ht="42" customHeight="1">
      <c r="A2341" s="4" t="s">
        <v>5993</v>
      </c>
      <c r="B2341" s="5" t="s">
        <v>5994</v>
      </c>
      <c r="C2341" s="5" t="s">
        <v>26</v>
      </c>
      <c r="D2341" s="5" t="s">
        <v>27</v>
      </c>
      <c r="E2341" s="5" t="s">
        <v>407</v>
      </c>
      <c r="F2341" s="9">
        <v>82</v>
      </c>
      <c r="G2341" s="9">
        <v>885</v>
      </c>
      <c r="H2341" s="5" t="s">
        <v>21</v>
      </c>
      <c r="I2341" s="5" t="s">
        <v>5995</v>
      </c>
      <c r="J2341" s="12" t="str">
        <f>HYPERLINK("https://www.boe.es/gazeta/dias/1803/10/11/pdfs/GMD-1803-82.pdf#page=9","Abrir facsímil")</f>
        <v>Abrir facsímil</v>
      </c>
      <c r="K2341" s="15" t="s">
        <v>23</v>
      </c>
    </row>
    <row r="2342" spans="1:11" ht="42" customHeight="1">
      <c r="A2342" s="4" t="s">
        <v>5996</v>
      </c>
      <c r="B2342" s="5" t="s">
        <v>5997</v>
      </c>
      <c r="C2342" s="5" t="s">
        <v>26</v>
      </c>
      <c r="D2342" s="5" t="s">
        <v>27</v>
      </c>
      <c r="E2342" s="5" t="s">
        <v>332</v>
      </c>
      <c r="F2342" s="9">
        <v>11</v>
      </c>
      <c r="G2342" s="9">
        <v>110</v>
      </c>
      <c r="H2342" s="5" t="s">
        <v>21</v>
      </c>
      <c r="I2342" s="5" t="s">
        <v>5998</v>
      </c>
      <c r="J2342" s="12" t="str">
        <f>HYPERLINK("https://www.boe.es/gazeta/dias/1803/02/08/pdfs/GMD-1803-11.pdf#page=6","Abrir facsímil")</f>
        <v>Abrir facsímil</v>
      </c>
      <c r="K2342" s="15" t="s">
        <v>23</v>
      </c>
    </row>
    <row r="2343" spans="1:11" ht="42" customHeight="1">
      <c r="A2343" s="4" t="s">
        <v>5999</v>
      </c>
      <c r="B2343" s="5" t="s">
        <v>6000</v>
      </c>
      <c r="C2343" s="5" t="s">
        <v>80</v>
      </c>
      <c r="D2343" s="5" t="s">
        <v>81</v>
      </c>
      <c r="E2343" s="5" t="s">
        <v>211</v>
      </c>
      <c r="F2343" s="9">
        <v>71</v>
      </c>
      <c r="G2343" s="9">
        <v>779</v>
      </c>
      <c r="H2343" s="5" t="s">
        <v>21</v>
      </c>
      <c r="I2343" s="5" t="s">
        <v>6001</v>
      </c>
      <c r="J2343" s="12" t="str">
        <f>HYPERLINK("https://www.boe.es/gazeta/dias/1803/09/06/pdfs/GMD-1803-71.pdf#page=11","Abrir facsímil")</f>
        <v>Abrir facsímil</v>
      </c>
      <c r="K2343" s="15" t="s">
        <v>23</v>
      </c>
    </row>
    <row r="2344" spans="1:11" ht="42" customHeight="1">
      <c r="A2344" s="4" t="s">
        <v>6002</v>
      </c>
      <c r="B2344" s="5" t="s">
        <v>6003</v>
      </c>
      <c r="C2344" s="5" t="s">
        <v>26</v>
      </c>
      <c r="D2344" s="5" t="s">
        <v>27</v>
      </c>
      <c r="E2344" s="5" t="s">
        <v>211</v>
      </c>
      <c r="F2344" s="9">
        <v>71</v>
      </c>
      <c r="G2344" s="9">
        <v>778</v>
      </c>
      <c r="H2344" s="5" t="s">
        <v>21</v>
      </c>
      <c r="I2344" s="5" t="s">
        <v>6004</v>
      </c>
      <c r="J2344" s="12" t="str">
        <f>HYPERLINK("https://www.boe.es/gazeta/dias/1803/09/06/pdfs/GMD-1803-71.pdf#page=10","Abrir facsímil")</f>
        <v>Abrir facsímil</v>
      </c>
      <c r="K2344" s="15" t="s">
        <v>23</v>
      </c>
    </row>
    <row r="2345" spans="1:11" ht="42" customHeight="1">
      <c r="A2345" s="4" t="s">
        <v>6005</v>
      </c>
      <c r="B2345" s="5" t="s">
        <v>6006</v>
      </c>
      <c r="C2345" s="5" t="s">
        <v>80</v>
      </c>
      <c r="D2345" s="5" t="s">
        <v>81</v>
      </c>
      <c r="E2345" s="5" t="s">
        <v>321</v>
      </c>
      <c r="F2345" s="9">
        <v>94</v>
      </c>
      <c r="G2345" s="9">
        <v>1012</v>
      </c>
      <c r="H2345" s="5" t="s">
        <v>21</v>
      </c>
      <c r="I2345" s="5" t="s">
        <v>6007</v>
      </c>
      <c r="J2345" s="12" t="str">
        <f>HYPERLINK("https://www.boe.es/gazeta/dias/1803/11/22/pdfs/GMD-1803-94.pdf#page=12","Abrir facsímil")</f>
        <v>Abrir facsímil</v>
      </c>
      <c r="K2345" s="15" t="s">
        <v>23</v>
      </c>
    </row>
    <row r="2346" spans="1:11" ht="42" customHeight="1">
      <c r="A2346" s="4" t="s">
        <v>6008</v>
      </c>
      <c r="B2346" s="5" t="s">
        <v>6009</v>
      </c>
      <c r="C2346" s="5" t="s">
        <v>18</v>
      </c>
      <c r="D2346" s="5" t="s">
        <v>19</v>
      </c>
      <c r="E2346" s="5" t="s">
        <v>289</v>
      </c>
      <c r="F2346" s="9">
        <v>38</v>
      </c>
      <c r="G2346" s="9">
        <v>402</v>
      </c>
      <c r="H2346" s="5" t="s">
        <v>21</v>
      </c>
      <c r="I2346" s="5" t="s">
        <v>6010</v>
      </c>
      <c r="J2346" s="12" t="str">
        <f>HYPERLINK("https://www.boe.es/gazeta/dias/1803/05/13/pdfs/GMD-1803-38.pdf#page=10","Abrir facsímil")</f>
        <v>Abrir facsímil</v>
      </c>
      <c r="K2346" s="15" t="s">
        <v>23</v>
      </c>
    </row>
    <row r="2347" spans="1:11" ht="42" customHeight="1">
      <c r="A2347" s="4" t="s">
        <v>6008</v>
      </c>
      <c r="B2347" s="5" t="s">
        <v>6009</v>
      </c>
      <c r="C2347" s="5" t="s">
        <v>18</v>
      </c>
      <c r="D2347" s="5" t="s">
        <v>19</v>
      </c>
      <c r="E2347" s="5" t="s">
        <v>75</v>
      </c>
      <c r="F2347" s="9">
        <v>56</v>
      </c>
      <c r="G2347" s="9">
        <v>611</v>
      </c>
      <c r="H2347" s="5" t="s">
        <v>21</v>
      </c>
      <c r="I2347" s="5" t="s">
        <v>6011</v>
      </c>
      <c r="J2347" s="12" t="str">
        <f>HYPERLINK("https://www.boe.es/gazeta/dias/1803/07/15/pdfs/GMD-1803-56.pdf#page=7","Abrir facsímil")</f>
        <v>Abrir facsímil</v>
      </c>
      <c r="K2347" s="15" t="s">
        <v>23</v>
      </c>
    </row>
    <row r="2348" spans="1:11" ht="42" customHeight="1">
      <c r="A2348" s="4" t="s">
        <v>6008</v>
      </c>
      <c r="B2348" s="5" t="s">
        <v>6009</v>
      </c>
      <c r="C2348" s="5" t="s">
        <v>80</v>
      </c>
      <c r="D2348" s="5" t="s">
        <v>81</v>
      </c>
      <c r="E2348" s="5" t="s">
        <v>417</v>
      </c>
      <c r="F2348" s="9">
        <v>72</v>
      </c>
      <c r="G2348" s="9">
        <v>788</v>
      </c>
      <c r="H2348" s="5" t="s">
        <v>21</v>
      </c>
      <c r="I2348" s="5" t="s">
        <v>6012</v>
      </c>
      <c r="J2348" s="12" t="str">
        <f>HYPERLINK("https://www.boe.es/gazeta/dias/1803/09/09/pdfs/GMD-1803-72.pdf#page=8","Abrir facsímil")</f>
        <v>Abrir facsímil</v>
      </c>
      <c r="K2348" s="15" t="s">
        <v>23</v>
      </c>
    </row>
    <row r="2349" spans="1:11" ht="42" customHeight="1">
      <c r="A2349" s="4" t="s">
        <v>6013</v>
      </c>
      <c r="B2349" s="5" t="s">
        <v>6014</v>
      </c>
      <c r="C2349" s="5" t="s">
        <v>80</v>
      </c>
      <c r="D2349" s="5" t="s">
        <v>81</v>
      </c>
      <c r="E2349" s="5" t="s">
        <v>361</v>
      </c>
      <c r="F2349" s="9">
        <v>62</v>
      </c>
      <c r="G2349" s="9">
        <v>680</v>
      </c>
      <c r="H2349" s="5" t="s">
        <v>21</v>
      </c>
      <c r="I2349" s="5" t="s">
        <v>6015</v>
      </c>
      <c r="J2349" s="12" t="str">
        <f>HYPERLINK("https://www.boe.es/gazeta/dias/1803/08/05/pdfs/GMD-1803-62.pdf#page=12","Abrir facsímil")</f>
        <v>Abrir facsímil</v>
      </c>
      <c r="K2349" s="15" t="s">
        <v>23</v>
      </c>
    </row>
    <row r="2350" spans="1:11" ht="42" customHeight="1">
      <c r="A2350" s="4" t="s">
        <v>6016</v>
      </c>
      <c r="B2350" s="5" t="s">
        <v>6017</v>
      </c>
      <c r="C2350" s="5" t="s">
        <v>26</v>
      </c>
      <c r="D2350" s="5" t="s">
        <v>27</v>
      </c>
      <c r="E2350" s="5" t="s">
        <v>203</v>
      </c>
      <c r="F2350" s="9">
        <v>32</v>
      </c>
      <c r="G2350" s="9">
        <v>336</v>
      </c>
      <c r="H2350" s="5" t="s">
        <v>21</v>
      </c>
      <c r="I2350" s="5" t="s">
        <v>6018</v>
      </c>
      <c r="J2350" s="12" t="str">
        <f>HYPERLINK("https://www.boe.es/gazeta/dias/1803/04/22/pdfs/GMD-1803-32.pdf#page=8","Abrir facsímil")</f>
        <v>Abrir facsímil</v>
      </c>
      <c r="K2350" s="15" t="s">
        <v>23</v>
      </c>
    </row>
    <row r="2351" spans="1:11" ht="42" customHeight="1">
      <c r="A2351" s="4" t="s">
        <v>6019</v>
      </c>
      <c r="B2351" s="5" t="s">
        <v>6020</v>
      </c>
      <c r="C2351" s="5" t="s">
        <v>26</v>
      </c>
      <c r="D2351" s="5" t="s">
        <v>27</v>
      </c>
      <c r="E2351" s="5" t="s">
        <v>395</v>
      </c>
      <c r="F2351" s="9">
        <v>13</v>
      </c>
      <c r="G2351" s="9">
        <v>134</v>
      </c>
      <c r="H2351" s="5" t="s">
        <v>21</v>
      </c>
      <c r="I2351" s="5" t="s">
        <v>6021</v>
      </c>
      <c r="J2351" s="12" t="str">
        <f>HYPERLINK("https://www.boe.es/gazeta/dias/1803/02/15/pdfs/GMD-1803-13.pdf#page=10","Abrir facsímil")</f>
        <v>Abrir facsímil</v>
      </c>
      <c r="K2351" s="15" t="s">
        <v>23</v>
      </c>
    </row>
    <row r="2352" spans="1:11" ht="42" customHeight="1">
      <c r="A2352" s="4" t="s">
        <v>6022</v>
      </c>
      <c r="B2352" s="5" t="s">
        <v>6023</v>
      </c>
      <c r="C2352" s="5" t="s">
        <v>26</v>
      </c>
      <c r="D2352" s="5" t="s">
        <v>27</v>
      </c>
      <c r="E2352" s="5" t="s">
        <v>71</v>
      </c>
      <c r="F2352" s="9">
        <v>39</v>
      </c>
      <c r="G2352" s="9">
        <v>412</v>
      </c>
      <c r="H2352" s="5" t="s">
        <v>21</v>
      </c>
      <c r="I2352" s="5" t="s">
        <v>6024</v>
      </c>
      <c r="J2352" s="12" t="str">
        <f>HYPERLINK("https://www.boe.es/gazeta/dias/1803/05/17/pdfs/GMD-1803-39.pdf#page=8","Abrir facsímil")</f>
        <v>Abrir facsímil</v>
      </c>
      <c r="K2352" s="15" t="s">
        <v>23</v>
      </c>
    </row>
    <row r="2353" spans="1:11" ht="42" customHeight="1">
      <c r="A2353" s="4" t="s">
        <v>6025</v>
      </c>
      <c r="B2353" s="5" t="s">
        <v>6026</v>
      </c>
      <c r="C2353" s="5" t="s">
        <v>80</v>
      </c>
      <c r="D2353" s="5" t="s">
        <v>81</v>
      </c>
      <c r="E2353" s="5" t="s">
        <v>109</v>
      </c>
      <c r="F2353" s="9">
        <v>102</v>
      </c>
      <c r="G2353" s="9" t="s">
        <v>471</v>
      </c>
      <c r="H2353" s="5" t="s">
        <v>21</v>
      </c>
      <c r="I2353" s="5" t="s">
        <v>6027</v>
      </c>
      <c r="J2353" s="12" t="str">
        <f>HYPERLINK("https://www.boe.es/gazeta/dias/1803/12/20/pdfs/GMD-C-1803-102.pdf#page=4","Abrir facsímil")</f>
        <v>Abrir facsímil</v>
      </c>
      <c r="K2353" s="15" t="s">
        <v>23</v>
      </c>
    </row>
    <row r="2354" spans="1:11" ht="42" customHeight="1">
      <c r="A2354" s="4" t="s">
        <v>6028</v>
      </c>
      <c r="B2354" s="5" t="s">
        <v>6029</v>
      </c>
      <c r="C2354" s="5" t="s">
        <v>18</v>
      </c>
      <c r="D2354" s="5" t="s">
        <v>19</v>
      </c>
      <c r="E2354" s="5" t="s">
        <v>75</v>
      </c>
      <c r="F2354" s="9">
        <v>56</v>
      </c>
      <c r="G2354" s="9">
        <v>611</v>
      </c>
      <c r="H2354" s="5" t="s">
        <v>21</v>
      </c>
      <c r="I2354" s="5" t="s">
        <v>6030</v>
      </c>
      <c r="J2354" s="12" t="str">
        <f>HYPERLINK("https://www.boe.es/gazeta/dias/1803/07/15/pdfs/GMD-1803-56.pdf#page=7","Abrir facsímil")</f>
        <v>Abrir facsímil</v>
      </c>
      <c r="K2354" s="15" t="s">
        <v>23</v>
      </c>
    </row>
    <row r="2355" spans="1:11" ht="42" customHeight="1">
      <c r="A2355" s="4" t="s">
        <v>6031</v>
      </c>
      <c r="B2355" s="5" t="s">
        <v>6032</v>
      </c>
      <c r="C2355" s="5" t="s">
        <v>26</v>
      </c>
      <c r="D2355" s="5" t="s">
        <v>27</v>
      </c>
      <c r="E2355" s="5" t="s">
        <v>57</v>
      </c>
      <c r="F2355" s="9">
        <v>51</v>
      </c>
      <c r="G2355" s="9">
        <v>553</v>
      </c>
      <c r="H2355" s="5" t="s">
        <v>21</v>
      </c>
      <c r="I2355" s="5" t="s">
        <v>6033</v>
      </c>
      <c r="J2355" s="12" t="str">
        <f>HYPERLINK("https://www.boe.es/gazeta/dias/1803/06/28/pdfs/GMD-1803-51.pdf#page=9","Abrir facsímil")</f>
        <v>Abrir facsímil</v>
      </c>
      <c r="K2355" s="15" t="s">
        <v>23</v>
      </c>
    </row>
    <row r="2356" spans="1:11" ht="42" customHeight="1">
      <c r="A2356" s="4" t="s">
        <v>6034</v>
      </c>
      <c r="B2356" s="5" t="s">
        <v>6035</v>
      </c>
      <c r="C2356" s="5" t="s">
        <v>51</v>
      </c>
      <c r="D2356" s="5" t="s">
        <v>52</v>
      </c>
      <c r="E2356" s="5" t="s">
        <v>361</v>
      </c>
      <c r="F2356" s="9">
        <v>62</v>
      </c>
      <c r="G2356" s="9">
        <v>676</v>
      </c>
      <c r="H2356" s="5" t="s">
        <v>21</v>
      </c>
      <c r="I2356" s="5" t="s">
        <v>6036</v>
      </c>
      <c r="J2356" s="12" t="str">
        <f>HYPERLINK("https://www.boe.es/gazeta/dias/1803/08/05/pdfs/GMD-1803-62.pdf#page=8","Abrir facsímil")</f>
        <v>Abrir facsímil</v>
      </c>
      <c r="K2356" s="15" t="s">
        <v>23</v>
      </c>
    </row>
    <row r="2357" spans="1:11" ht="42" customHeight="1">
      <c r="A2357" s="4" t="s">
        <v>6037</v>
      </c>
      <c r="B2357" s="5" t="s">
        <v>6038</v>
      </c>
      <c r="C2357" s="5" t="s">
        <v>40</v>
      </c>
      <c r="D2357" s="5" t="s">
        <v>41</v>
      </c>
      <c r="E2357" s="5" t="s">
        <v>619</v>
      </c>
      <c r="F2357" s="9">
        <v>53</v>
      </c>
      <c r="G2357" s="9">
        <v>579</v>
      </c>
      <c r="H2357" s="5" t="s">
        <v>21</v>
      </c>
      <c r="I2357" s="5" t="s">
        <v>6039</v>
      </c>
      <c r="J2357" s="12" t="str">
        <f>HYPERLINK("https://www.boe.es/gazeta/dias/1803/07/05/pdfs/GMD-1803-53.pdf#page=11","Abrir facsímil")</f>
        <v>Abrir facsímil</v>
      </c>
      <c r="K2357" s="15" t="s">
        <v>23</v>
      </c>
    </row>
    <row r="2358" spans="1:11" ht="42" customHeight="1">
      <c r="A2358" s="4" t="s">
        <v>6040</v>
      </c>
      <c r="B2358" s="5" t="s">
        <v>6041</v>
      </c>
      <c r="C2358" s="5" t="s">
        <v>46</v>
      </c>
      <c r="D2358" s="5" t="s">
        <v>19</v>
      </c>
      <c r="E2358" s="5" t="s">
        <v>1915</v>
      </c>
      <c r="F2358" s="9">
        <v>44</v>
      </c>
      <c r="G2358" s="9">
        <v>460</v>
      </c>
      <c r="H2358" s="5" t="s">
        <v>21</v>
      </c>
      <c r="I2358" s="5" t="s">
        <v>6042</v>
      </c>
      <c r="J2358" s="12" t="str">
        <f>HYPERLINK("https://www.boe.es/gazeta/dias/1803/06/03/pdfs/GMD-1803-44.pdf#page=8","Abrir facsímil")</f>
        <v>Abrir facsímil</v>
      </c>
      <c r="K2358" s="15" t="s">
        <v>23</v>
      </c>
    </row>
    <row r="2359" spans="1:11" ht="42" customHeight="1">
      <c r="A2359" s="4" t="s">
        <v>6040</v>
      </c>
      <c r="B2359" s="5" t="s">
        <v>6041</v>
      </c>
      <c r="C2359" s="5" t="s">
        <v>80</v>
      </c>
      <c r="D2359" s="5" t="s">
        <v>81</v>
      </c>
      <c r="E2359" s="5" t="s">
        <v>910</v>
      </c>
      <c r="F2359" s="9">
        <v>66</v>
      </c>
      <c r="G2359" s="9">
        <v>719</v>
      </c>
      <c r="H2359" s="5" t="s">
        <v>21</v>
      </c>
      <c r="I2359" s="5" t="s">
        <v>6043</v>
      </c>
      <c r="J2359" s="12" t="str">
        <f>HYPERLINK("https://www.boe.es/gazeta/dias/1803/08/19/pdfs/GMD-1803-66.pdf#page=7","Abrir facsímil")</f>
        <v>Abrir facsímil</v>
      </c>
      <c r="K2359" s="15" t="s">
        <v>23</v>
      </c>
    </row>
    <row r="2360" spans="1:11" ht="42" customHeight="1">
      <c r="A2360" s="4" t="s">
        <v>6040</v>
      </c>
      <c r="B2360" s="5" t="s">
        <v>6041</v>
      </c>
      <c r="C2360" s="5" t="s">
        <v>46</v>
      </c>
      <c r="D2360" s="5" t="s">
        <v>19</v>
      </c>
      <c r="E2360" s="5" t="s">
        <v>263</v>
      </c>
      <c r="F2360" s="9">
        <v>75</v>
      </c>
      <c r="G2360" s="9">
        <v>811</v>
      </c>
      <c r="H2360" s="5" t="s">
        <v>21</v>
      </c>
      <c r="I2360" s="5" t="s">
        <v>6044</v>
      </c>
      <c r="J2360" s="12" t="str">
        <f>HYPERLINK("https://www.boe.es/gazeta/dias/1803/09/16/pdfs/GMD-1803-75.pdf#page=7","Abrir facsímil")</f>
        <v>Abrir facsímil</v>
      </c>
      <c r="K2360" s="15" t="s">
        <v>23</v>
      </c>
    </row>
    <row r="2361" spans="1:11" ht="42" customHeight="1">
      <c r="A2361" s="4" t="s">
        <v>6040</v>
      </c>
      <c r="B2361" s="5" t="s">
        <v>6041</v>
      </c>
      <c r="C2361" s="5" t="s">
        <v>46</v>
      </c>
      <c r="D2361" s="5" t="s">
        <v>19</v>
      </c>
      <c r="E2361" s="5" t="s">
        <v>630</v>
      </c>
      <c r="F2361" s="9">
        <v>85</v>
      </c>
      <c r="G2361" s="9">
        <v>919</v>
      </c>
      <c r="H2361" s="5" t="s">
        <v>21</v>
      </c>
      <c r="I2361" s="5" t="s">
        <v>6045</v>
      </c>
      <c r="J2361" s="12" t="str">
        <f>HYPERLINK("https://www.boe.es/gazeta/dias/1803/10/21/pdfs/GMD-1803-85.pdf#page=11","Abrir facsímil")</f>
        <v>Abrir facsímil</v>
      </c>
      <c r="K2361" s="15" t="s">
        <v>23</v>
      </c>
    </row>
    <row r="2362" spans="1:11" ht="42" customHeight="1">
      <c r="A2362" s="4" t="s">
        <v>6040</v>
      </c>
      <c r="B2362" s="5" t="s">
        <v>6041</v>
      </c>
      <c r="C2362" s="5" t="s">
        <v>26</v>
      </c>
      <c r="D2362" s="5" t="s">
        <v>27</v>
      </c>
      <c r="E2362" s="5" t="s">
        <v>113</v>
      </c>
      <c r="F2362" s="9">
        <v>93</v>
      </c>
      <c r="G2362" s="9">
        <v>999</v>
      </c>
      <c r="H2362" s="5" t="s">
        <v>21</v>
      </c>
      <c r="I2362" s="5" t="s">
        <v>6046</v>
      </c>
      <c r="J2362" s="12" t="str">
        <f>HYPERLINK("https://www.boe.es/gazeta/dias/1803/11/18/pdfs/GMD-1803-93.pdf#page=11","Abrir facsímil")</f>
        <v>Abrir facsímil</v>
      </c>
      <c r="K2362" s="15" t="s">
        <v>23</v>
      </c>
    </row>
    <row r="2363" spans="1:11" ht="42" customHeight="1">
      <c r="A2363" s="4" t="s">
        <v>6047</v>
      </c>
      <c r="B2363" s="5" t="s">
        <v>6048</v>
      </c>
      <c r="C2363" s="5" t="s">
        <v>26</v>
      </c>
      <c r="D2363" s="5" t="s">
        <v>27</v>
      </c>
      <c r="E2363" s="5" t="s">
        <v>148</v>
      </c>
      <c r="F2363" s="9">
        <v>15</v>
      </c>
      <c r="G2363" s="9">
        <v>157</v>
      </c>
      <c r="H2363" s="5" t="s">
        <v>21</v>
      </c>
      <c r="I2363" s="5" t="s">
        <v>6049</v>
      </c>
      <c r="J2363" s="12" t="str">
        <f>HYPERLINK("https://www.boe.es/gazeta/dias/1803/02/22/pdfs/GMD-1803-15.pdf#page=9","Abrir facsímil")</f>
        <v>Abrir facsímil</v>
      </c>
      <c r="K2363" s="15" t="s">
        <v>23</v>
      </c>
    </row>
    <row r="2364" spans="1:11" ht="42" customHeight="1">
      <c r="A2364" s="4" t="s">
        <v>6050</v>
      </c>
      <c r="B2364" s="5" t="s">
        <v>6051</v>
      </c>
      <c r="C2364" s="5" t="s">
        <v>18</v>
      </c>
      <c r="D2364" s="5" t="s">
        <v>19</v>
      </c>
      <c r="E2364" s="5" t="s">
        <v>403</v>
      </c>
      <c r="F2364" s="9">
        <v>91</v>
      </c>
      <c r="G2364" s="9">
        <v>976</v>
      </c>
      <c r="H2364" s="5" t="s">
        <v>21</v>
      </c>
      <c r="I2364" s="5" t="s">
        <v>6052</v>
      </c>
      <c r="J2364" s="12" t="str">
        <f>HYPERLINK("https://www.boe.es/gazeta/dias/1803/11/11/pdfs/GMD-1803-91.pdf#page=8","Abrir facsímil")</f>
        <v>Abrir facsímil</v>
      </c>
      <c r="K2364" s="15" t="s">
        <v>23</v>
      </c>
    </row>
    <row r="2365" spans="1:11" ht="42" customHeight="1">
      <c r="A2365" s="4" t="s">
        <v>6053</v>
      </c>
      <c r="B2365" s="5" t="s">
        <v>6053</v>
      </c>
      <c r="C2365" s="5" t="s">
        <v>40</v>
      </c>
      <c r="D2365" s="5" t="s">
        <v>41</v>
      </c>
      <c r="E2365" s="5" t="s">
        <v>71</v>
      </c>
      <c r="F2365" s="9">
        <v>39</v>
      </c>
      <c r="G2365" s="9">
        <v>406</v>
      </c>
      <c r="H2365" s="5" t="s">
        <v>21</v>
      </c>
      <c r="I2365" s="5" t="s">
        <v>6054</v>
      </c>
      <c r="J2365" s="12" t="str">
        <f>HYPERLINK("https://www.boe.es/gazeta/dias/1803/05/17/pdfs/GMD-1803-39.pdf#page=2","Abrir facsímil")</f>
        <v>Abrir facsímil</v>
      </c>
      <c r="K2365" s="15" t="s">
        <v>23</v>
      </c>
    </row>
    <row r="2366" spans="1:11" ht="42" customHeight="1">
      <c r="A2366" s="4" t="s">
        <v>6055</v>
      </c>
      <c r="B2366" s="5" t="s">
        <v>6055</v>
      </c>
      <c r="C2366" s="5" t="s">
        <v>40</v>
      </c>
      <c r="D2366" s="5" t="s">
        <v>41</v>
      </c>
      <c r="E2366" s="5" t="s">
        <v>117</v>
      </c>
      <c r="F2366" s="9">
        <v>59</v>
      </c>
      <c r="G2366" s="9">
        <v>642</v>
      </c>
      <c r="H2366" s="5" t="s">
        <v>21</v>
      </c>
      <c r="I2366" s="5" t="s">
        <v>6056</v>
      </c>
      <c r="J2366" s="12" t="str">
        <f>HYPERLINK("https://www.boe.es/gazeta/dias/1803/07/26/pdfs/GMD-1803-59.pdf#page=2","Abrir facsímil")</f>
        <v>Abrir facsímil</v>
      </c>
      <c r="K2366" s="15" t="s">
        <v>23</v>
      </c>
    </row>
    <row r="2367" spans="1:11" ht="42" customHeight="1">
      <c r="A2367" s="4" t="s">
        <v>6057</v>
      </c>
      <c r="B2367" s="5" t="s">
        <v>6057</v>
      </c>
      <c r="C2367" s="5" t="s">
        <v>46</v>
      </c>
      <c r="D2367" s="5" t="s">
        <v>19</v>
      </c>
      <c r="E2367" s="5" t="s">
        <v>128</v>
      </c>
      <c r="F2367" s="9">
        <v>80</v>
      </c>
      <c r="G2367" s="9">
        <v>863</v>
      </c>
      <c r="H2367" s="5" t="s">
        <v>21</v>
      </c>
      <c r="I2367" s="5" t="s">
        <v>6058</v>
      </c>
      <c r="J2367" s="12" t="str">
        <f>HYPERLINK("https://www.boe.es/gazeta/dias/1803/10/04/pdfs/GMD-1803-80.pdf#page=7","Abrir facsímil")</f>
        <v>Abrir facsímil</v>
      </c>
      <c r="K2367" s="15" t="s">
        <v>23</v>
      </c>
    </row>
    <row r="2368" spans="1:11" ht="42" customHeight="1">
      <c r="A2368" s="4" t="s">
        <v>6059</v>
      </c>
      <c r="B2368" s="5" t="s">
        <v>6060</v>
      </c>
      <c r="C2368" s="5" t="s">
        <v>80</v>
      </c>
      <c r="D2368" s="5" t="s">
        <v>81</v>
      </c>
      <c r="E2368" s="5" t="s">
        <v>164</v>
      </c>
      <c r="F2368" s="9">
        <v>84</v>
      </c>
      <c r="G2368" s="9">
        <v>901</v>
      </c>
      <c r="H2368" s="5" t="s">
        <v>21</v>
      </c>
      <c r="I2368" s="5" t="s">
        <v>6061</v>
      </c>
      <c r="J2368" s="12" t="str">
        <f>HYPERLINK("https://www.boe.es/gazeta/dias/1803/10/18/pdfs/GMD-1803-84.pdf#page=5","Abrir facsímil")</f>
        <v>Abrir facsímil</v>
      </c>
      <c r="K2368" s="15" t="s">
        <v>23</v>
      </c>
    </row>
    <row r="2369" spans="1:11" ht="42" customHeight="1">
      <c r="A2369" s="4" t="s">
        <v>6062</v>
      </c>
      <c r="B2369" s="5" t="s">
        <v>6063</v>
      </c>
      <c r="C2369" s="5" t="s">
        <v>225</v>
      </c>
      <c r="D2369" s="5" t="s">
        <v>226</v>
      </c>
      <c r="E2369" s="5" t="s">
        <v>191</v>
      </c>
      <c r="F2369" s="9">
        <v>34</v>
      </c>
      <c r="G2369" s="9" t="s">
        <v>2271</v>
      </c>
      <c r="H2369" s="5" t="s">
        <v>21</v>
      </c>
      <c r="I2369" s="5" t="s">
        <v>6064</v>
      </c>
      <c r="J2369" s="12" t="str">
        <f>HYPERLINK("https://www.boe.es/gazeta/dias/1803/04/29/pdfs/GMD-C-1803-34.pdf#page=5","Abrir facsímil")</f>
        <v>Abrir facsímil</v>
      </c>
      <c r="K2369" s="15" t="s">
        <v>23</v>
      </c>
    </row>
    <row r="2370" spans="1:11" ht="42" customHeight="1">
      <c r="A2370" s="4" t="s">
        <v>6065</v>
      </c>
      <c r="B2370" s="5" t="s">
        <v>6066</v>
      </c>
      <c r="C2370" s="5" t="s">
        <v>26</v>
      </c>
      <c r="D2370" s="5" t="s">
        <v>27</v>
      </c>
      <c r="E2370" s="5" t="s">
        <v>36</v>
      </c>
      <c r="F2370" s="9">
        <v>79</v>
      </c>
      <c r="G2370" s="9">
        <v>854</v>
      </c>
      <c r="H2370" s="5" t="s">
        <v>21</v>
      </c>
      <c r="I2370" s="5" t="s">
        <v>6067</v>
      </c>
      <c r="J2370" s="12" t="str">
        <f>HYPERLINK("https://www.boe.es/gazeta/dias/1803/09/30/pdfs/GMD-1803-79.pdf#page=6","Abrir facsímil")</f>
        <v>Abrir facsímil</v>
      </c>
      <c r="K2370" s="15" t="s">
        <v>23</v>
      </c>
    </row>
    <row r="2371" spans="1:11" ht="42" customHeight="1">
      <c r="A2371" s="4" t="s">
        <v>6068</v>
      </c>
      <c r="B2371" s="5" t="s">
        <v>6068</v>
      </c>
      <c r="C2371" s="5" t="s">
        <v>26</v>
      </c>
      <c r="D2371" s="5" t="s">
        <v>27</v>
      </c>
      <c r="E2371" s="5" t="s">
        <v>68</v>
      </c>
      <c r="F2371" s="9">
        <v>23</v>
      </c>
      <c r="G2371" s="9">
        <v>246</v>
      </c>
      <c r="H2371" s="5" t="s">
        <v>21</v>
      </c>
      <c r="I2371" s="5" t="s">
        <v>6069</v>
      </c>
      <c r="J2371" s="12" t="str">
        <f>HYPERLINK("https://www.boe.es/gazeta/dias/1803/03/22/pdfs/GMD-1803-23.pdf#page=6","Abrir facsímil")</f>
        <v>Abrir facsímil</v>
      </c>
      <c r="K2371" s="15" t="s">
        <v>23</v>
      </c>
    </row>
    <row r="2372" spans="1:11" ht="42" customHeight="1">
      <c r="A2372" s="4" t="s">
        <v>6070</v>
      </c>
      <c r="B2372" s="5" t="s">
        <v>6070</v>
      </c>
      <c r="C2372" s="5" t="s">
        <v>80</v>
      </c>
      <c r="D2372" s="5" t="s">
        <v>81</v>
      </c>
      <c r="E2372" s="5" t="s">
        <v>42</v>
      </c>
      <c r="F2372" s="9">
        <v>10</v>
      </c>
      <c r="G2372" s="9">
        <v>104</v>
      </c>
      <c r="H2372" s="5" t="s">
        <v>21</v>
      </c>
      <c r="I2372" s="5" t="s">
        <v>6071</v>
      </c>
      <c r="J2372" s="12" t="str">
        <f>HYPERLINK("https://www.boe.es/gazeta/dias/1803/02/04/pdfs/GMD-1803-10.pdf#page=8","Abrir facsímil")</f>
        <v>Abrir facsímil</v>
      </c>
      <c r="K2372" s="15" t="s">
        <v>23</v>
      </c>
    </row>
    <row r="2373" spans="1:11" ht="42" customHeight="1">
      <c r="A2373" s="4" t="s">
        <v>6072</v>
      </c>
      <c r="B2373" s="5" t="s">
        <v>6072</v>
      </c>
      <c r="C2373" s="5" t="s">
        <v>51</v>
      </c>
      <c r="D2373" s="5" t="s">
        <v>52</v>
      </c>
      <c r="E2373" s="5" t="s">
        <v>88</v>
      </c>
      <c r="F2373" s="9">
        <v>18</v>
      </c>
      <c r="G2373" s="9">
        <v>192</v>
      </c>
      <c r="H2373" s="5" t="s">
        <v>21</v>
      </c>
      <c r="I2373" s="5" t="s">
        <v>6073</v>
      </c>
      <c r="J2373" s="12" t="str">
        <f>HYPERLINK("https://www.boe.es/gazeta/dias/1803/03/04/pdfs/GMD-1803-18.pdf#page=12","Abrir facsímil")</f>
        <v>Abrir facsímil</v>
      </c>
      <c r="K2373" s="15" t="s">
        <v>23</v>
      </c>
    </row>
    <row r="2374" spans="1:11" ht="42" customHeight="1">
      <c r="A2374" s="4" t="s">
        <v>6074</v>
      </c>
      <c r="B2374" s="5" t="s">
        <v>6074</v>
      </c>
      <c r="C2374" s="5" t="s">
        <v>26</v>
      </c>
      <c r="D2374" s="5" t="s">
        <v>27</v>
      </c>
      <c r="E2374" s="5" t="s">
        <v>373</v>
      </c>
      <c r="F2374" s="9">
        <v>77</v>
      </c>
      <c r="G2374" s="9">
        <v>834</v>
      </c>
      <c r="H2374" s="5" t="s">
        <v>21</v>
      </c>
      <c r="I2374" s="5" t="s">
        <v>6075</v>
      </c>
      <c r="J2374" s="12" t="str">
        <f>HYPERLINK("https://www.boe.es/gazeta/dias/1803/09/23/pdfs/GMD-1803-77.pdf#page=10","Abrir facsímil")</f>
        <v>Abrir facsímil</v>
      </c>
      <c r="K2374" s="15" t="s">
        <v>23</v>
      </c>
    </row>
    <row r="2375" spans="1:11" ht="42" customHeight="1">
      <c r="A2375" s="4" t="s">
        <v>6076</v>
      </c>
      <c r="B2375" s="5" t="s">
        <v>6076</v>
      </c>
      <c r="C2375" s="5" t="s">
        <v>18</v>
      </c>
      <c r="D2375" s="5" t="s">
        <v>19</v>
      </c>
      <c r="E2375" s="5" t="s">
        <v>523</v>
      </c>
      <c r="F2375" s="9">
        <v>101</v>
      </c>
      <c r="G2375" s="9">
        <v>1086</v>
      </c>
      <c r="H2375" s="5" t="s">
        <v>21</v>
      </c>
      <c r="I2375" s="5" t="s">
        <v>6077</v>
      </c>
      <c r="J2375" s="12" t="str">
        <f>HYPERLINK("https://www.boe.es/gazeta/dias/1803/12/16/pdfs/GMD-1803-101.pdf#page=10","Abrir facsímil")</f>
        <v>Abrir facsímil</v>
      </c>
      <c r="K2375" s="15" t="s">
        <v>23</v>
      </c>
    </row>
    <row r="2376" spans="1:11" ht="42" customHeight="1">
      <c r="A2376" s="4" t="s">
        <v>6078</v>
      </c>
      <c r="B2376" s="5" t="s">
        <v>6078</v>
      </c>
      <c r="C2376" s="5" t="s">
        <v>26</v>
      </c>
      <c r="D2376" s="5" t="s">
        <v>27</v>
      </c>
      <c r="E2376" s="5" t="s">
        <v>403</v>
      </c>
      <c r="F2376" s="9">
        <v>91</v>
      </c>
      <c r="G2376" s="9">
        <v>976</v>
      </c>
      <c r="H2376" s="5" t="s">
        <v>21</v>
      </c>
      <c r="I2376" s="5" t="s">
        <v>6079</v>
      </c>
      <c r="J2376" s="12" t="str">
        <f>HYPERLINK("https://www.boe.es/gazeta/dias/1803/11/11/pdfs/GMD-1803-91.pdf#page=8","Abrir facsímil")</f>
        <v>Abrir facsímil</v>
      </c>
      <c r="K2376" s="15" t="s">
        <v>23</v>
      </c>
    </row>
    <row r="2377" spans="1:11" ht="42" customHeight="1">
      <c r="A2377" s="4" t="s">
        <v>6080</v>
      </c>
      <c r="B2377" s="5" t="s">
        <v>6080</v>
      </c>
      <c r="C2377" s="5" t="s">
        <v>80</v>
      </c>
      <c r="D2377" s="5" t="s">
        <v>81</v>
      </c>
      <c r="E2377" s="5" t="s">
        <v>369</v>
      </c>
      <c r="F2377" s="9">
        <v>100</v>
      </c>
      <c r="G2377" s="9">
        <v>1074</v>
      </c>
      <c r="H2377" s="5" t="s">
        <v>21</v>
      </c>
      <c r="I2377" s="5" t="s">
        <v>6081</v>
      </c>
      <c r="J2377" s="12" t="str">
        <f>HYPERLINK("https://www.boe.es/gazeta/dias/1803/12/13/pdfs/GMD-1803-100.pdf#page=10","Abrir facsímil")</f>
        <v>Abrir facsímil</v>
      </c>
      <c r="K2377" s="15" t="s">
        <v>23</v>
      </c>
    </row>
    <row r="2378" spans="1:11" ht="42" customHeight="1">
      <c r="A2378" s="4" t="s">
        <v>6082</v>
      </c>
      <c r="B2378" s="5" t="s">
        <v>6082</v>
      </c>
      <c r="C2378" s="5" t="s">
        <v>51</v>
      </c>
      <c r="D2378" s="5" t="s">
        <v>52</v>
      </c>
      <c r="E2378" s="5" t="s">
        <v>203</v>
      </c>
      <c r="F2378" s="9">
        <v>32</v>
      </c>
      <c r="G2378" s="9">
        <v>337</v>
      </c>
      <c r="H2378" s="5" t="s">
        <v>21</v>
      </c>
      <c r="I2378" s="5" t="s">
        <v>6083</v>
      </c>
      <c r="J2378" s="12" t="str">
        <f>HYPERLINK("https://www.boe.es/gazeta/dias/1803/04/22/pdfs/GMD-1803-32.pdf#page=9","Abrir facsímil")</f>
        <v>Abrir facsímil</v>
      </c>
      <c r="K2378" s="15" t="s">
        <v>23</v>
      </c>
    </row>
    <row r="2379" spans="1:11" ht="42" customHeight="1">
      <c r="A2379" s="4" t="s">
        <v>6084</v>
      </c>
      <c r="B2379" s="5" t="s">
        <v>6084</v>
      </c>
      <c r="C2379" s="5" t="s">
        <v>80</v>
      </c>
      <c r="D2379" s="5" t="s">
        <v>81</v>
      </c>
      <c r="E2379" s="5" t="s">
        <v>272</v>
      </c>
      <c r="F2379" s="9">
        <v>25</v>
      </c>
      <c r="G2379" s="9">
        <v>268</v>
      </c>
      <c r="H2379" s="5" t="s">
        <v>21</v>
      </c>
      <c r="I2379" s="5" t="s">
        <v>6085</v>
      </c>
      <c r="J2379" s="12" t="str">
        <f>HYPERLINK("https://www.boe.es/gazeta/dias/1803/03/29/pdfs/GMD-1803-25.pdf#page=8","Abrir facsímil")</f>
        <v>Abrir facsímil</v>
      </c>
      <c r="K2379" s="15" t="s">
        <v>23</v>
      </c>
    </row>
    <row r="2380" spans="1:11" ht="42" customHeight="1">
      <c r="A2380" s="4" t="s">
        <v>6086</v>
      </c>
      <c r="B2380" s="5" t="s">
        <v>6086</v>
      </c>
      <c r="C2380" s="5" t="s">
        <v>51</v>
      </c>
      <c r="D2380" s="5" t="s">
        <v>52</v>
      </c>
      <c r="E2380" s="5" t="s">
        <v>317</v>
      </c>
      <c r="F2380" s="9">
        <v>12</v>
      </c>
      <c r="G2380" s="9">
        <v>118</v>
      </c>
      <c r="H2380" s="5" t="s">
        <v>21</v>
      </c>
      <c r="I2380" s="5" t="s">
        <v>6087</v>
      </c>
      <c r="J2380" s="12" t="str">
        <f>HYPERLINK("https://www.boe.es/gazeta/dias/1803/02/11/pdfs/GMD-1803-12.pdf#page=6","Abrir facsímil")</f>
        <v>Abrir facsímil</v>
      </c>
      <c r="K2380" s="15" t="s">
        <v>23</v>
      </c>
    </row>
    <row r="2381" spans="1:11" ht="42" customHeight="1">
      <c r="A2381" s="4" t="s">
        <v>6088</v>
      </c>
      <c r="B2381" s="5" t="s">
        <v>6088</v>
      </c>
      <c r="C2381" s="5" t="s">
        <v>40</v>
      </c>
      <c r="D2381" s="5" t="s">
        <v>41</v>
      </c>
      <c r="E2381" s="5" t="s">
        <v>93</v>
      </c>
      <c r="F2381" s="9">
        <v>43</v>
      </c>
      <c r="G2381" s="9">
        <v>444</v>
      </c>
      <c r="H2381" s="5" t="s">
        <v>21</v>
      </c>
      <c r="I2381" s="5" t="s">
        <v>6089</v>
      </c>
      <c r="J2381" s="12" t="str">
        <f>HYPERLINK("https://www.boe.es/gazeta/dias/1803/05/31/pdfs/GMD-1803-43.pdf#page=4","Abrir facsímil")</f>
        <v>Abrir facsímil</v>
      </c>
      <c r="K2381" s="15" t="s">
        <v>23</v>
      </c>
    </row>
    <row r="2382" spans="1:11" ht="42" customHeight="1">
      <c r="A2382" s="4" t="s">
        <v>6090</v>
      </c>
      <c r="B2382" s="5" t="s">
        <v>6091</v>
      </c>
      <c r="C2382" s="5" t="s">
        <v>51</v>
      </c>
      <c r="D2382" s="5" t="s">
        <v>52</v>
      </c>
      <c r="E2382" s="5" t="s">
        <v>340</v>
      </c>
      <c r="F2382" s="9">
        <v>55</v>
      </c>
      <c r="G2382" s="9">
        <v>598</v>
      </c>
      <c r="H2382" s="5" t="s">
        <v>21</v>
      </c>
      <c r="I2382" s="5" t="s">
        <v>6092</v>
      </c>
      <c r="J2382" s="12" t="str">
        <f>HYPERLINK("https://www.boe.es/gazeta/dias/1803/07/12/pdfs/GMD-1803-55.pdf#page=6","Abrir facsímil")</f>
        <v>Abrir facsímil</v>
      </c>
      <c r="K2382" s="15" t="s">
        <v>23</v>
      </c>
    </row>
    <row r="2383" spans="1:11" ht="42" customHeight="1">
      <c r="A2383" s="4" t="s">
        <v>6093</v>
      </c>
      <c r="B2383" s="5" t="s">
        <v>6094</v>
      </c>
      <c r="C2383" s="5" t="s">
        <v>40</v>
      </c>
      <c r="D2383" s="5" t="s">
        <v>41</v>
      </c>
      <c r="E2383" s="5" t="s">
        <v>132</v>
      </c>
      <c r="F2383" s="9">
        <v>58</v>
      </c>
      <c r="G2383" s="9">
        <v>631</v>
      </c>
      <c r="H2383" s="5" t="s">
        <v>21</v>
      </c>
      <c r="I2383" s="5" t="s">
        <v>6095</v>
      </c>
      <c r="J2383" s="12" t="str">
        <f>HYPERLINK("https://www.boe.es/gazeta/dias/1803/07/22/pdfs/GMD-1803-58.pdf#page=3","Abrir facsímil")</f>
        <v>Abrir facsímil</v>
      </c>
      <c r="K2383" s="15" t="s">
        <v>23</v>
      </c>
    </row>
    <row r="2384" spans="1:11" ht="42" customHeight="1">
      <c r="A2384" s="4" t="s">
        <v>6093</v>
      </c>
      <c r="B2384" s="5" t="s">
        <v>6094</v>
      </c>
      <c r="C2384" s="5" t="s">
        <v>40</v>
      </c>
      <c r="D2384" s="5" t="s">
        <v>41</v>
      </c>
      <c r="E2384" s="5" t="s">
        <v>361</v>
      </c>
      <c r="F2384" s="9">
        <v>62</v>
      </c>
      <c r="G2384" s="9">
        <v>671</v>
      </c>
      <c r="H2384" s="5" t="s">
        <v>21</v>
      </c>
      <c r="I2384" s="5" t="s">
        <v>6096</v>
      </c>
      <c r="J2384" s="12" t="str">
        <f>HYPERLINK("https://www.boe.es/gazeta/dias/1803/08/05/pdfs/GMD-1803-62.pdf#page=3","Abrir facsímil")</f>
        <v>Abrir facsímil</v>
      </c>
      <c r="K2384" s="15" t="s">
        <v>23</v>
      </c>
    </row>
    <row r="2385" spans="1:11" ht="42" customHeight="1">
      <c r="A2385" s="4" t="s">
        <v>6093</v>
      </c>
      <c r="B2385" s="5" t="s">
        <v>6094</v>
      </c>
      <c r="C2385" s="5" t="s">
        <v>40</v>
      </c>
      <c r="D2385" s="5" t="s">
        <v>41</v>
      </c>
      <c r="E2385" s="5" t="s">
        <v>32</v>
      </c>
      <c r="F2385" s="9">
        <v>74</v>
      </c>
      <c r="G2385" s="9">
        <v>799</v>
      </c>
      <c r="H2385" s="5" t="s">
        <v>21</v>
      </c>
      <c r="I2385" s="5" t="s">
        <v>6097</v>
      </c>
      <c r="J2385" s="12" t="str">
        <f>HYPERLINK("https://www.boe.es/gazeta/dias/1803/09/13/pdfs/GMD-1803-74.pdf#page=3","Abrir facsímil")</f>
        <v>Abrir facsímil</v>
      </c>
      <c r="K2385" s="15" t="s">
        <v>23</v>
      </c>
    </row>
    <row r="2386" spans="1:11" ht="42" customHeight="1">
      <c r="A2386" s="4" t="s">
        <v>6093</v>
      </c>
      <c r="B2386" s="5" t="s">
        <v>6094</v>
      </c>
      <c r="C2386" s="5" t="s">
        <v>40</v>
      </c>
      <c r="D2386" s="5" t="s">
        <v>41</v>
      </c>
      <c r="E2386" s="5" t="s">
        <v>128</v>
      </c>
      <c r="F2386" s="9">
        <v>80</v>
      </c>
      <c r="G2386" s="9">
        <v>860</v>
      </c>
      <c r="H2386" s="5" t="s">
        <v>21</v>
      </c>
      <c r="I2386" s="5" t="s">
        <v>6098</v>
      </c>
      <c r="J2386" s="12" t="str">
        <f>HYPERLINK("https://www.boe.es/gazeta/dias/1803/10/04/pdfs/GMD-1803-80.pdf#page=4","Abrir facsímil")</f>
        <v>Abrir facsímil</v>
      </c>
      <c r="K2386" s="15" t="s">
        <v>23</v>
      </c>
    </row>
    <row r="2387" spans="1:11" ht="42" customHeight="1">
      <c r="A2387" s="4" t="s">
        <v>6099</v>
      </c>
      <c r="B2387" s="5" t="s">
        <v>6100</v>
      </c>
      <c r="C2387" s="5" t="s">
        <v>26</v>
      </c>
      <c r="D2387" s="5" t="s">
        <v>27</v>
      </c>
      <c r="E2387" s="5" t="s">
        <v>64</v>
      </c>
      <c r="F2387" s="9">
        <v>65</v>
      </c>
      <c r="G2387" s="9">
        <v>702</v>
      </c>
      <c r="H2387" s="5" t="s">
        <v>21</v>
      </c>
      <c r="I2387" s="5" t="s">
        <v>6101</v>
      </c>
      <c r="J2387" s="12" t="str">
        <f>HYPERLINK("https://www.boe.es/gazeta/dias/1803/08/16/pdfs/GMD-1803-65.pdf#page=2","Abrir facsímil")</f>
        <v>Abrir facsímil</v>
      </c>
      <c r="K2387" s="15" t="s">
        <v>23</v>
      </c>
    </row>
    <row r="2388" spans="1:11" ht="42" customHeight="1">
      <c r="A2388" s="4" t="s">
        <v>6102</v>
      </c>
      <c r="B2388" s="5" t="s">
        <v>6102</v>
      </c>
      <c r="C2388" s="5" t="s">
        <v>40</v>
      </c>
      <c r="D2388" s="5" t="s">
        <v>41</v>
      </c>
      <c r="E2388" s="5" t="s">
        <v>207</v>
      </c>
      <c r="F2388" s="9">
        <v>27</v>
      </c>
      <c r="G2388" s="9">
        <v>286</v>
      </c>
      <c r="H2388" s="5" t="s">
        <v>21</v>
      </c>
      <c r="I2388" s="5" t="s">
        <v>6103</v>
      </c>
      <c r="J2388" s="12" t="str">
        <f>HYPERLINK("https://www.boe.es/gazeta/dias/1803/04/05/pdfs/GMD-1803-27.pdf#page=2","Abrir facsímil")</f>
        <v>Abrir facsímil</v>
      </c>
      <c r="K2388" s="15" t="s">
        <v>23</v>
      </c>
    </row>
    <row r="2389" spans="1:11" ht="42" customHeight="1">
      <c r="A2389" s="4" t="s">
        <v>6104</v>
      </c>
      <c r="B2389" s="5" t="s">
        <v>6104</v>
      </c>
      <c r="C2389" s="5" t="s">
        <v>80</v>
      </c>
      <c r="D2389" s="5" t="s">
        <v>81</v>
      </c>
      <c r="E2389" s="5" t="s">
        <v>439</v>
      </c>
      <c r="F2389" s="9">
        <v>76</v>
      </c>
      <c r="G2389" s="9">
        <v>820</v>
      </c>
      <c r="H2389" s="5" t="s">
        <v>21</v>
      </c>
      <c r="I2389" s="5" t="s">
        <v>6105</v>
      </c>
      <c r="J2389" s="12" t="str">
        <f>HYPERLINK("https://www.boe.es/gazeta/dias/1803/09/20/pdfs/GMD-1803-76.pdf#page=8","Abrir facsímil")</f>
        <v>Abrir facsímil</v>
      </c>
      <c r="K2389" s="15" t="s">
        <v>23</v>
      </c>
    </row>
    <row r="2390" spans="1:11" ht="42" customHeight="1">
      <c r="A2390" s="4" t="s">
        <v>6106</v>
      </c>
      <c r="B2390" s="5" t="s">
        <v>6107</v>
      </c>
      <c r="C2390" s="5" t="s">
        <v>18</v>
      </c>
      <c r="D2390" s="5" t="s">
        <v>19</v>
      </c>
      <c r="E2390" s="5" t="s">
        <v>20</v>
      </c>
      <c r="F2390" s="9">
        <v>97</v>
      </c>
      <c r="G2390" s="9">
        <v>1044</v>
      </c>
      <c r="H2390" s="5" t="s">
        <v>21</v>
      </c>
      <c r="I2390" s="5" t="s">
        <v>6108</v>
      </c>
      <c r="J2390" s="12" t="str">
        <f>HYPERLINK("https://www.boe.es/gazeta/dias/1803/12/02/pdfs/GMD-1803-97.pdf#page=8","Abrir facsímil")</f>
        <v>Abrir facsímil</v>
      </c>
      <c r="K2390" s="15" t="s">
        <v>23</v>
      </c>
    </row>
    <row r="2391" spans="1:11" ht="42" customHeight="1">
      <c r="A2391" s="4" t="s">
        <v>6109</v>
      </c>
      <c r="B2391" s="5" t="s">
        <v>6110</v>
      </c>
      <c r="C2391" s="5" t="s">
        <v>18</v>
      </c>
      <c r="D2391" s="5" t="s">
        <v>19</v>
      </c>
      <c r="E2391" s="5" t="s">
        <v>109</v>
      </c>
      <c r="F2391" s="9">
        <v>102</v>
      </c>
      <c r="G2391" s="9">
        <v>1097</v>
      </c>
      <c r="H2391" s="5" t="s">
        <v>21</v>
      </c>
      <c r="I2391" s="5" t="s">
        <v>6111</v>
      </c>
      <c r="J2391" s="12" t="str">
        <f>HYPERLINK("https://www.boe.es/gazeta/dias/1803/12/20/pdfs/GMD-1803-102.pdf#page=9","Abrir facsímil")</f>
        <v>Abrir facsímil</v>
      </c>
      <c r="K2391" s="15" t="s">
        <v>23</v>
      </c>
    </row>
    <row r="2392" spans="1:11" ht="42" customHeight="1">
      <c r="A2392" s="4" t="s">
        <v>6112</v>
      </c>
      <c r="B2392" s="5" t="s">
        <v>6113</v>
      </c>
      <c r="C2392" s="5" t="s">
        <v>26</v>
      </c>
      <c r="D2392" s="5" t="s">
        <v>27</v>
      </c>
      <c r="E2392" s="5" t="s">
        <v>61</v>
      </c>
      <c r="F2392" s="9">
        <v>67</v>
      </c>
      <c r="G2392" s="9">
        <v>730</v>
      </c>
      <c r="H2392" s="5" t="s">
        <v>21</v>
      </c>
      <c r="I2392" s="5" t="s">
        <v>6114</v>
      </c>
      <c r="J2392" s="12" t="str">
        <f>HYPERLINK("https://www.boe.es/gazeta/dias/1803/08/23/pdfs/GMD-1803-67.pdf#page=10","Abrir facsímil")</f>
        <v>Abrir facsímil</v>
      </c>
      <c r="K2392" s="15" t="s">
        <v>23</v>
      </c>
    </row>
    <row r="2393" spans="1:11" ht="42" customHeight="1">
      <c r="A2393" s="4" t="s">
        <v>6115</v>
      </c>
      <c r="B2393" s="5" t="s">
        <v>6115</v>
      </c>
      <c r="C2393" s="5" t="s">
        <v>80</v>
      </c>
      <c r="D2393" s="5" t="s">
        <v>81</v>
      </c>
      <c r="E2393" s="5" t="s">
        <v>214</v>
      </c>
      <c r="F2393" s="9">
        <v>17</v>
      </c>
      <c r="G2393" s="9">
        <v>180</v>
      </c>
      <c r="H2393" s="5" t="s">
        <v>21</v>
      </c>
      <c r="I2393" s="5" t="s">
        <v>6116</v>
      </c>
      <c r="J2393" s="12" t="str">
        <f>HYPERLINK("https://www.boe.es/gazeta/dias/1803/03/01/pdfs/GMD-1803-17.pdf#page=12","Abrir facsímil")</f>
        <v>Abrir facsímil</v>
      </c>
      <c r="K2393" s="15" t="s">
        <v>23</v>
      </c>
    </row>
    <row r="2394" spans="1:11" ht="42" customHeight="1">
      <c r="A2394" s="4" t="s">
        <v>6117</v>
      </c>
      <c r="B2394" s="5" t="s">
        <v>6118</v>
      </c>
      <c r="C2394" s="5" t="s">
        <v>26</v>
      </c>
      <c r="D2394" s="5" t="s">
        <v>27</v>
      </c>
      <c r="E2394" s="5" t="s">
        <v>203</v>
      </c>
      <c r="F2394" s="9">
        <v>32</v>
      </c>
      <c r="G2394" s="9">
        <v>336</v>
      </c>
      <c r="H2394" s="5" t="s">
        <v>21</v>
      </c>
      <c r="I2394" s="5" t="s">
        <v>6119</v>
      </c>
      <c r="J2394" s="12" t="str">
        <f>HYPERLINK("https://www.boe.es/gazeta/dias/1803/04/22/pdfs/GMD-1803-32.pdf#page=8","Abrir facsímil")</f>
        <v>Abrir facsímil</v>
      </c>
      <c r="K2394" s="15" t="s">
        <v>23</v>
      </c>
    </row>
    <row r="2395" spans="1:11" ht="42" customHeight="1">
      <c r="A2395" s="4" t="s">
        <v>6120</v>
      </c>
      <c r="B2395" s="5" t="s">
        <v>6121</v>
      </c>
      <c r="C2395" s="5" t="s">
        <v>46</v>
      </c>
      <c r="D2395" s="5" t="s">
        <v>19</v>
      </c>
      <c r="E2395" s="5" t="s">
        <v>174</v>
      </c>
      <c r="F2395" s="9">
        <v>21</v>
      </c>
      <c r="G2395" s="9">
        <v>226</v>
      </c>
      <c r="H2395" s="5" t="s">
        <v>21</v>
      </c>
      <c r="I2395" s="5" t="s">
        <v>6122</v>
      </c>
      <c r="J2395" s="12" t="str">
        <f>HYPERLINK("https://www.boe.es/gazeta/dias/1803/03/15/pdfs/GMD-1803-21.pdf#page=10","Abrir facsímil")</f>
        <v>Abrir facsímil</v>
      </c>
      <c r="K2395" s="15" t="s">
        <v>23</v>
      </c>
    </row>
    <row r="2396" spans="1:11" ht="42" customHeight="1">
      <c r="A2396" s="4" t="s">
        <v>6120</v>
      </c>
      <c r="B2396" s="5" t="s">
        <v>6121</v>
      </c>
      <c r="C2396" s="5" t="s">
        <v>46</v>
      </c>
      <c r="D2396" s="5" t="s">
        <v>19</v>
      </c>
      <c r="E2396" s="5" t="s">
        <v>609</v>
      </c>
      <c r="F2396" s="9">
        <v>57</v>
      </c>
      <c r="G2396" s="9">
        <v>622</v>
      </c>
      <c r="H2396" s="5" t="s">
        <v>21</v>
      </c>
      <c r="I2396" s="5" t="s">
        <v>6123</v>
      </c>
      <c r="J2396" s="12" t="str">
        <f>HYPERLINK("https://www.boe.es/gazeta/dias/1803/07/19/pdfs/GMD-C-1803-57.pdf#page=2","Abrir facsímil")</f>
        <v>Abrir facsímil</v>
      </c>
      <c r="K2396" s="15" t="s">
        <v>23</v>
      </c>
    </row>
    <row r="2397" spans="1:11" ht="42" customHeight="1">
      <c r="A2397" s="4" t="s">
        <v>6120</v>
      </c>
      <c r="B2397" s="5" t="s">
        <v>6121</v>
      </c>
      <c r="C2397" s="5" t="s">
        <v>46</v>
      </c>
      <c r="D2397" s="5" t="s">
        <v>19</v>
      </c>
      <c r="E2397" s="5" t="s">
        <v>113</v>
      </c>
      <c r="F2397" s="9">
        <v>93</v>
      </c>
      <c r="G2397" s="9">
        <v>997</v>
      </c>
      <c r="H2397" s="5" t="s">
        <v>21</v>
      </c>
      <c r="I2397" s="5" t="s">
        <v>6124</v>
      </c>
      <c r="J2397" s="12" t="str">
        <f>HYPERLINK("https://www.boe.es/gazeta/dias/1803/11/18/pdfs/GMD-1803-93.pdf#page=9","Abrir facsímil")</f>
        <v>Abrir facsímil</v>
      </c>
      <c r="K2397" s="15" t="s">
        <v>23</v>
      </c>
    </row>
    <row r="2398" spans="1:11" ht="42" customHeight="1">
      <c r="A2398" s="4" t="s">
        <v>6125</v>
      </c>
      <c r="B2398" s="5" t="s">
        <v>6125</v>
      </c>
      <c r="C2398" s="5" t="s">
        <v>51</v>
      </c>
      <c r="D2398" s="5" t="s">
        <v>52</v>
      </c>
      <c r="E2398" s="5" t="s">
        <v>509</v>
      </c>
      <c r="F2398" s="9">
        <v>6</v>
      </c>
      <c r="G2398" s="9">
        <v>53</v>
      </c>
      <c r="H2398" s="5" t="s">
        <v>21</v>
      </c>
      <c r="I2398" s="5" t="s">
        <v>6126</v>
      </c>
      <c r="J2398" s="12" t="str">
        <f>HYPERLINK("https://www.boe.es/gazeta/dias/1803/01/21/pdfs/GMD-1803-6.pdf#page=5","Abrir facsímil")</f>
        <v>Abrir facsímil</v>
      </c>
      <c r="K2398" s="15" t="s">
        <v>23</v>
      </c>
    </row>
    <row r="2399" spans="1:11" ht="42" customHeight="1">
      <c r="A2399" s="4" t="s">
        <v>6127</v>
      </c>
      <c r="B2399" s="5" t="s">
        <v>6128</v>
      </c>
      <c r="C2399" s="5" t="s">
        <v>46</v>
      </c>
      <c r="D2399" s="5" t="s">
        <v>19</v>
      </c>
      <c r="E2399" s="5" t="s">
        <v>199</v>
      </c>
      <c r="F2399" s="9">
        <v>88</v>
      </c>
      <c r="G2399" s="9">
        <v>947</v>
      </c>
      <c r="H2399" s="5" t="s">
        <v>21</v>
      </c>
      <c r="I2399" s="5" t="s">
        <v>6129</v>
      </c>
      <c r="J2399" s="12" t="str">
        <f>HYPERLINK("https://www.boe.es/gazeta/dias/1803/11/01/pdfs/GMD-1803-88.pdf#page=7","Abrir facsímil")</f>
        <v>Abrir facsímil</v>
      </c>
      <c r="K2399" s="15" t="s">
        <v>23</v>
      </c>
    </row>
    <row r="2400" spans="1:11" ht="42" customHeight="1">
      <c r="A2400" s="4" t="s">
        <v>6130</v>
      </c>
      <c r="B2400" s="5" t="s">
        <v>6131</v>
      </c>
      <c r="C2400" s="5" t="s">
        <v>26</v>
      </c>
      <c r="D2400" s="5" t="s">
        <v>27</v>
      </c>
      <c r="E2400" s="5" t="s">
        <v>403</v>
      </c>
      <c r="F2400" s="9">
        <v>91</v>
      </c>
      <c r="G2400" s="9">
        <v>976</v>
      </c>
      <c r="H2400" s="5" t="s">
        <v>21</v>
      </c>
      <c r="I2400" s="5" t="s">
        <v>6132</v>
      </c>
      <c r="J2400" s="12" t="str">
        <f>HYPERLINK("https://www.boe.es/gazeta/dias/1803/11/11/pdfs/GMD-1803-91.pdf#page=8","Abrir facsímil")</f>
        <v>Abrir facsímil</v>
      </c>
      <c r="K2400" s="15" t="s">
        <v>23</v>
      </c>
    </row>
    <row r="2401" spans="1:11" ht="42" customHeight="1">
      <c r="A2401" s="4" t="s">
        <v>6133</v>
      </c>
      <c r="B2401" s="5" t="s">
        <v>6133</v>
      </c>
      <c r="C2401" s="5" t="s">
        <v>40</v>
      </c>
      <c r="D2401" s="5" t="s">
        <v>41</v>
      </c>
      <c r="E2401" s="5" t="s">
        <v>391</v>
      </c>
      <c r="F2401" s="9">
        <v>61</v>
      </c>
      <c r="G2401" s="9">
        <v>663</v>
      </c>
      <c r="H2401" s="5" t="s">
        <v>21</v>
      </c>
      <c r="I2401" s="5" t="s">
        <v>6134</v>
      </c>
      <c r="J2401" s="12" t="str">
        <f>HYPERLINK("https://www.boe.es/gazeta/dias/1803/08/02/pdfs/GMD-1803-61.pdf#page=3","Abrir facsímil")</f>
        <v>Abrir facsímil</v>
      </c>
      <c r="K2401" s="15" t="s">
        <v>23</v>
      </c>
    </row>
    <row r="2402" spans="1:11" ht="42" customHeight="1">
      <c r="A2402" s="4" t="s">
        <v>6133</v>
      </c>
      <c r="B2402" s="5" t="s">
        <v>6133</v>
      </c>
      <c r="C2402" s="5" t="s">
        <v>40</v>
      </c>
      <c r="D2402" s="5" t="s">
        <v>41</v>
      </c>
      <c r="E2402" s="5" t="s">
        <v>373</v>
      </c>
      <c r="F2402" s="9">
        <v>77</v>
      </c>
      <c r="G2402" s="9">
        <v>829</v>
      </c>
      <c r="H2402" s="5" t="s">
        <v>21</v>
      </c>
      <c r="I2402" s="5" t="s">
        <v>6135</v>
      </c>
      <c r="J2402" s="12" t="str">
        <f>HYPERLINK("https://www.boe.es/gazeta/dias/1803/09/23/pdfs/GMD-1803-77.pdf#page=5","Abrir facsímil")</f>
        <v>Abrir facsímil</v>
      </c>
      <c r="K2402" s="15" t="s">
        <v>23</v>
      </c>
    </row>
    <row r="2403" spans="1:11" ht="42" customHeight="1">
      <c r="A2403" s="4" t="s">
        <v>6136</v>
      </c>
      <c r="B2403" s="5" t="s">
        <v>6137</v>
      </c>
      <c r="C2403" s="5" t="s">
        <v>40</v>
      </c>
      <c r="D2403" s="5" t="s">
        <v>41</v>
      </c>
      <c r="E2403" s="5" t="s">
        <v>373</v>
      </c>
      <c r="F2403" s="9">
        <v>77</v>
      </c>
      <c r="G2403" s="9">
        <v>827</v>
      </c>
      <c r="H2403" s="5" t="s">
        <v>21</v>
      </c>
      <c r="I2403" s="5" t="s">
        <v>6138</v>
      </c>
      <c r="J2403" s="12" t="str">
        <f>HYPERLINK("https://www.boe.es/gazeta/dias/1803/09/23/pdfs/GMD-1803-77.pdf#page=3","Abrir facsímil")</f>
        <v>Abrir facsímil</v>
      </c>
      <c r="K2403" s="15" t="s">
        <v>23</v>
      </c>
    </row>
    <row r="2404" spans="1:11" ht="42" customHeight="1">
      <c r="A2404" s="4" t="s">
        <v>6139</v>
      </c>
      <c r="B2404" s="5" t="s">
        <v>6140</v>
      </c>
      <c r="C2404" s="5" t="s">
        <v>26</v>
      </c>
      <c r="D2404" s="5" t="s">
        <v>27</v>
      </c>
      <c r="E2404" s="5" t="s">
        <v>501</v>
      </c>
      <c r="F2404" s="9">
        <v>22</v>
      </c>
      <c r="G2404" s="9">
        <v>236</v>
      </c>
      <c r="H2404" s="5" t="s">
        <v>21</v>
      </c>
      <c r="I2404" s="5" t="s">
        <v>6141</v>
      </c>
      <c r="J2404" s="12" t="str">
        <f>HYPERLINK("https://www.boe.es/gazeta/dias/1803/03/18/pdfs/GMD-1803-22.pdf#page=8","Abrir facsímil")</f>
        <v>Abrir facsímil</v>
      </c>
      <c r="K2404" s="15" t="s">
        <v>23</v>
      </c>
    </row>
    <row r="2405" spans="1:11" ht="42" customHeight="1">
      <c r="A2405" s="4" t="s">
        <v>6142</v>
      </c>
      <c r="B2405" s="5" t="s">
        <v>6143</v>
      </c>
      <c r="C2405" s="5" t="s">
        <v>26</v>
      </c>
      <c r="D2405" s="5" t="s">
        <v>27</v>
      </c>
      <c r="E2405" s="5" t="s">
        <v>395</v>
      </c>
      <c r="F2405" s="9">
        <v>13</v>
      </c>
      <c r="G2405" s="9">
        <v>134</v>
      </c>
      <c r="H2405" s="5" t="s">
        <v>21</v>
      </c>
      <c r="I2405" s="5" t="s">
        <v>6144</v>
      </c>
      <c r="J2405" s="12" t="str">
        <f>HYPERLINK("https://www.boe.es/gazeta/dias/1803/02/15/pdfs/GMD-1803-13.pdf#page=10","Abrir facsímil")</f>
        <v>Abrir facsímil</v>
      </c>
      <c r="K2405" s="15" t="s">
        <v>23</v>
      </c>
    </row>
    <row r="2406" spans="1:11" ht="42" customHeight="1">
      <c r="A2406" s="4" t="s">
        <v>6145</v>
      </c>
      <c r="B2406" s="5" t="s">
        <v>6146</v>
      </c>
      <c r="C2406" s="5" t="s">
        <v>26</v>
      </c>
      <c r="D2406" s="5" t="s">
        <v>27</v>
      </c>
      <c r="E2406" s="5" t="s">
        <v>32</v>
      </c>
      <c r="F2406" s="9">
        <v>74</v>
      </c>
      <c r="G2406" s="9">
        <v>803</v>
      </c>
      <c r="H2406" s="5" t="s">
        <v>21</v>
      </c>
      <c r="I2406" s="5" t="s">
        <v>6147</v>
      </c>
      <c r="J2406" s="12" t="str">
        <f>HYPERLINK("https://www.boe.es/gazeta/dias/1803/09/13/pdfs/GMD-1803-74.pdf#page=7","Abrir facsímil")</f>
        <v>Abrir facsímil</v>
      </c>
      <c r="K2406" s="15" t="s">
        <v>23</v>
      </c>
    </row>
    <row r="2407" spans="1:11" ht="42" customHeight="1">
      <c r="A2407" s="4" t="s">
        <v>6148</v>
      </c>
      <c r="B2407" s="5" t="s">
        <v>6149</v>
      </c>
      <c r="C2407" s="5" t="s">
        <v>18</v>
      </c>
      <c r="D2407" s="5" t="s">
        <v>19</v>
      </c>
      <c r="E2407" s="5" t="s">
        <v>417</v>
      </c>
      <c r="F2407" s="9">
        <v>72</v>
      </c>
      <c r="G2407" s="9">
        <v>786</v>
      </c>
      <c r="H2407" s="5" t="s">
        <v>21</v>
      </c>
      <c r="I2407" s="5" t="s">
        <v>6150</v>
      </c>
      <c r="J2407" s="12" t="str">
        <f>HYPERLINK("https://www.boe.es/gazeta/dias/1803/09/09/pdfs/GMD-1803-72.pdf#page=6","Abrir facsímil")</f>
        <v>Abrir facsímil</v>
      </c>
      <c r="K2407" s="15" t="s">
        <v>23</v>
      </c>
    </row>
    <row r="2408" spans="1:11" ht="42" customHeight="1">
      <c r="A2408" s="4" t="s">
        <v>6151</v>
      </c>
      <c r="B2408" s="5" t="s">
        <v>6152</v>
      </c>
      <c r="C2408" s="5" t="s">
        <v>26</v>
      </c>
      <c r="D2408" s="5" t="s">
        <v>27</v>
      </c>
      <c r="E2408" s="5" t="s">
        <v>480</v>
      </c>
      <c r="F2408" s="9">
        <v>87</v>
      </c>
      <c r="G2408" s="9">
        <v>939</v>
      </c>
      <c r="H2408" s="5" t="s">
        <v>21</v>
      </c>
      <c r="I2408" s="5" t="s">
        <v>6153</v>
      </c>
      <c r="J2408" s="12" t="str">
        <f>HYPERLINK("https://www.boe.es/gazeta/dias/1803/10/28/pdfs/GMD-1803-87.pdf#page=7","Abrir facsímil")</f>
        <v>Abrir facsímil</v>
      </c>
      <c r="K2408" s="15" t="s">
        <v>23</v>
      </c>
    </row>
    <row r="2409" spans="1:11" ht="42" customHeight="1">
      <c r="A2409" s="4" t="s">
        <v>6154</v>
      </c>
      <c r="B2409" s="5" t="s">
        <v>6155</v>
      </c>
      <c r="C2409" s="5" t="s">
        <v>26</v>
      </c>
      <c r="D2409" s="5" t="s">
        <v>27</v>
      </c>
      <c r="E2409" s="5" t="s">
        <v>403</v>
      </c>
      <c r="F2409" s="9">
        <v>91</v>
      </c>
      <c r="G2409" s="9">
        <v>977</v>
      </c>
      <c r="H2409" s="5" t="s">
        <v>21</v>
      </c>
      <c r="I2409" s="5" t="s">
        <v>6156</v>
      </c>
      <c r="J2409" s="12" t="str">
        <f>HYPERLINK("https://www.boe.es/gazeta/dias/1803/11/11/pdfs/GMD-1803-91.pdf#page=9","Abrir facsímil")</f>
        <v>Abrir facsímil</v>
      </c>
      <c r="K2409" s="15" t="s">
        <v>23</v>
      </c>
    </row>
    <row r="2410" spans="1:11" ht="42" customHeight="1">
      <c r="A2410" s="4" t="s">
        <v>6157</v>
      </c>
      <c r="B2410" s="5" t="s">
        <v>6158</v>
      </c>
      <c r="C2410" s="5" t="s">
        <v>26</v>
      </c>
      <c r="D2410" s="5" t="s">
        <v>27</v>
      </c>
      <c r="E2410" s="5" t="s">
        <v>132</v>
      </c>
      <c r="F2410" s="9">
        <v>58</v>
      </c>
      <c r="G2410" s="9">
        <v>639</v>
      </c>
      <c r="H2410" s="5" t="s">
        <v>21</v>
      </c>
      <c r="I2410" s="5" t="s">
        <v>6159</v>
      </c>
      <c r="J2410" s="12" t="str">
        <f>HYPERLINK("https://www.boe.es/gazeta/dias/1803/07/22/pdfs/GMD-1803-58.pdf#page=11","Abrir facsímil")</f>
        <v>Abrir facsímil</v>
      </c>
      <c r="K2410" s="15" t="s">
        <v>23</v>
      </c>
    </row>
    <row r="2411" spans="1:11" ht="42" customHeight="1">
      <c r="A2411" s="4" t="s">
        <v>6160</v>
      </c>
      <c r="B2411" s="5" t="s">
        <v>6161</v>
      </c>
      <c r="C2411" s="5" t="s">
        <v>51</v>
      </c>
      <c r="D2411" s="5" t="s">
        <v>52</v>
      </c>
      <c r="E2411" s="5" t="s">
        <v>278</v>
      </c>
      <c r="F2411" s="9">
        <v>46</v>
      </c>
      <c r="G2411" s="9">
        <v>488</v>
      </c>
      <c r="H2411" s="5" t="s">
        <v>21</v>
      </c>
      <c r="I2411" s="5" t="s">
        <v>6162</v>
      </c>
      <c r="J2411" s="12" t="str">
        <f>HYPERLINK("https://www.boe.es/gazeta/dias/1803/06/10/pdfs/GMD-1803-46.pdf#page=12","Abrir facsímil")</f>
        <v>Abrir facsímil</v>
      </c>
      <c r="K2411" s="15" t="s">
        <v>23</v>
      </c>
    </row>
    <row r="2412" spans="1:11" ht="42" customHeight="1">
      <c r="A2412" s="4" t="s">
        <v>6163</v>
      </c>
      <c r="B2412" s="5" t="s">
        <v>6164</v>
      </c>
      <c r="C2412" s="5" t="s">
        <v>26</v>
      </c>
      <c r="D2412" s="5" t="s">
        <v>27</v>
      </c>
      <c r="E2412" s="5" t="s">
        <v>231</v>
      </c>
      <c r="F2412" s="9">
        <v>26</v>
      </c>
      <c r="G2412" s="9">
        <v>282</v>
      </c>
      <c r="H2412" s="5" t="s">
        <v>21</v>
      </c>
      <c r="I2412" s="5" t="s">
        <v>6165</v>
      </c>
      <c r="J2412" s="12" t="str">
        <f>HYPERLINK("https://www.boe.es/gazeta/dias/1803/04/01/pdfs/GMD-1803-26.pdf#page=10","Abrir facsímil")</f>
        <v>Abrir facsímil</v>
      </c>
      <c r="K2412" s="15" t="s">
        <v>23</v>
      </c>
    </row>
    <row r="2413" spans="1:11" ht="42" customHeight="1">
      <c r="A2413" s="4" t="s">
        <v>6166</v>
      </c>
      <c r="B2413" s="5" t="s">
        <v>6167</v>
      </c>
      <c r="C2413" s="5" t="s">
        <v>26</v>
      </c>
      <c r="D2413" s="5" t="s">
        <v>27</v>
      </c>
      <c r="E2413" s="5" t="s">
        <v>373</v>
      </c>
      <c r="F2413" s="9">
        <v>77</v>
      </c>
      <c r="G2413" s="9">
        <v>834</v>
      </c>
      <c r="H2413" s="5" t="s">
        <v>21</v>
      </c>
      <c r="I2413" s="5" t="s">
        <v>6168</v>
      </c>
      <c r="J2413" s="12" t="str">
        <f>HYPERLINK("https://www.boe.es/gazeta/dias/1803/09/23/pdfs/GMD-1803-77.pdf#page=10","Abrir facsímil")</f>
        <v>Abrir facsímil</v>
      </c>
      <c r="K2413" s="15" t="s">
        <v>23</v>
      </c>
    </row>
    <row r="2414" spans="1:11" ht="42" customHeight="1">
      <c r="A2414" s="4" t="s">
        <v>6169</v>
      </c>
      <c r="B2414" s="5" t="s">
        <v>6170</v>
      </c>
      <c r="C2414" s="5" t="s">
        <v>18</v>
      </c>
      <c r="D2414" s="5" t="s">
        <v>19</v>
      </c>
      <c r="E2414" s="5" t="s">
        <v>784</v>
      </c>
      <c r="F2414" s="9">
        <v>86</v>
      </c>
      <c r="G2414" s="9">
        <v>929</v>
      </c>
      <c r="H2414" s="5" t="s">
        <v>21</v>
      </c>
      <c r="I2414" s="5" t="s">
        <v>6171</v>
      </c>
      <c r="J2414" s="12" t="str">
        <f>HYPERLINK("https://www.boe.es/gazeta/dias/1803/10/25/pdfs/GMD-1803-86.pdf#page=9","Abrir facsímil")</f>
        <v>Abrir facsímil</v>
      </c>
      <c r="K2414" s="15" t="s">
        <v>23</v>
      </c>
    </row>
    <row r="2415" spans="1:11" ht="42" customHeight="1">
      <c r="A2415" s="4" t="s">
        <v>6172</v>
      </c>
      <c r="B2415" s="5" t="s">
        <v>6173</v>
      </c>
      <c r="C2415" s="5" t="s">
        <v>26</v>
      </c>
      <c r="D2415" s="5" t="s">
        <v>27</v>
      </c>
      <c r="E2415" s="5" t="s">
        <v>882</v>
      </c>
      <c r="F2415" s="9">
        <v>60</v>
      </c>
      <c r="G2415" s="9">
        <v>656</v>
      </c>
      <c r="H2415" s="5" t="s">
        <v>21</v>
      </c>
      <c r="I2415" s="5" t="s">
        <v>6174</v>
      </c>
      <c r="J2415" s="12" t="str">
        <f>HYPERLINK("https://www.boe.es/gazeta/dias/1803/07/29/pdfs/GMD-1803-60.pdf#page=8","Abrir facsímil")</f>
        <v>Abrir facsímil</v>
      </c>
      <c r="K2415" s="15" t="s">
        <v>23</v>
      </c>
    </row>
    <row r="2416" spans="1:11" ht="42" customHeight="1">
      <c r="A2416" s="4" t="s">
        <v>6175</v>
      </c>
      <c r="B2416" s="5" t="s">
        <v>6176</v>
      </c>
      <c r="C2416" s="5" t="s">
        <v>18</v>
      </c>
      <c r="D2416" s="5" t="s">
        <v>19</v>
      </c>
      <c r="E2416" s="5" t="s">
        <v>124</v>
      </c>
      <c r="F2416" s="9">
        <v>20</v>
      </c>
      <c r="G2416" s="9">
        <v>210</v>
      </c>
      <c r="H2416" s="5" t="s">
        <v>21</v>
      </c>
      <c r="I2416" s="5" t="s">
        <v>6177</v>
      </c>
      <c r="J2416" s="12" t="str">
        <f>HYPERLINK("https://www.boe.es/gazeta/dias/1803/03/11/pdfs/GMD-1803-20.pdf#page=6","Abrir facsímil")</f>
        <v>Abrir facsímil</v>
      </c>
      <c r="K2416" s="15" t="s">
        <v>23</v>
      </c>
    </row>
    <row r="2417" spans="1:11" ht="42" customHeight="1">
      <c r="A2417" s="4" t="s">
        <v>6178</v>
      </c>
      <c r="B2417" s="5" t="s">
        <v>6178</v>
      </c>
      <c r="C2417" s="5" t="s">
        <v>18</v>
      </c>
      <c r="D2417" s="5" t="s">
        <v>19</v>
      </c>
      <c r="E2417" s="5" t="s">
        <v>726</v>
      </c>
      <c r="F2417" s="9">
        <v>78</v>
      </c>
      <c r="G2417" s="9">
        <v>847</v>
      </c>
      <c r="H2417" s="5" t="s">
        <v>21</v>
      </c>
      <c r="I2417" s="5" t="s">
        <v>6179</v>
      </c>
      <c r="J2417" s="12" t="str">
        <f>HYPERLINK("https://www.boe.es/gazeta/dias/1803/09/27/pdfs/GMD-1803-78.pdf#page=11","Abrir facsímil")</f>
        <v>Abrir facsímil</v>
      </c>
      <c r="K2417" s="15" t="s">
        <v>23</v>
      </c>
    </row>
    <row r="2418" spans="1:11" ht="42" customHeight="1">
      <c r="A2418" s="4" t="s">
        <v>6180</v>
      </c>
      <c r="B2418" s="5" t="s">
        <v>6180</v>
      </c>
      <c r="C2418" s="5" t="s">
        <v>18</v>
      </c>
      <c r="D2418" s="5" t="s">
        <v>19</v>
      </c>
      <c r="E2418" s="5" t="s">
        <v>124</v>
      </c>
      <c r="F2418" s="9">
        <v>20</v>
      </c>
      <c r="G2418" s="9">
        <v>209</v>
      </c>
      <c r="H2418" s="5" t="s">
        <v>21</v>
      </c>
      <c r="I2418" s="5" t="s">
        <v>6181</v>
      </c>
      <c r="J2418" s="12" t="str">
        <f>HYPERLINK("https://www.boe.es/gazeta/dias/1803/03/11/pdfs/GMD-1803-20.pdf#page=5","Abrir facsímil")</f>
        <v>Abrir facsímil</v>
      </c>
      <c r="K2418" s="15" t="s">
        <v>23</v>
      </c>
    </row>
    <row r="2419" spans="1:11" ht="42" customHeight="1">
      <c r="A2419" s="4" t="s">
        <v>6182</v>
      </c>
      <c r="B2419" s="5" t="s">
        <v>6182</v>
      </c>
      <c r="C2419" s="5" t="s">
        <v>26</v>
      </c>
      <c r="D2419" s="5" t="s">
        <v>27</v>
      </c>
      <c r="E2419" s="5" t="s">
        <v>278</v>
      </c>
      <c r="F2419" s="9">
        <v>46</v>
      </c>
      <c r="G2419" s="9">
        <v>486</v>
      </c>
      <c r="H2419" s="5" t="s">
        <v>21</v>
      </c>
      <c r="I2419" s="5" t="s">
        <v>6183</v>
      </c>
      <c r="J2419" s="12" t="str">
        <f>HYPERLINK("https://www.boe.es/gazeta/dias/1803/06/10/pdfs/GMD-1803-46.pdf#page=10","Abrir facsímil")</f>
        <v>Abrir facsímil</v>
      </c>
      <c r="K2419" s="15" t="s">
        <v>23</v>
      </c>
    </row>
    <row r="2420" spans="1:11" ht="42" customHeight="1">
      <c r="A2420" s="4" t="s">
        <v>6184</v>
      </c>
      <c r="B2420" s="5" t="s">
        <v>6184</v>
      </c>
      <c r="C2420" s="5" t="s">
        <v>40</v>
      </c>
      <c r="D2420" s="5" t="s">
        <v>41</v>
      </c>
      <c r="E2420" s="5" t="s">
        <v>47</v>
      </c>
      <c r="F2420" s="9">
        <v>33</v>
      </c>
      <c r="G2420" s="9">
        <v>349</v>
      </c>
      <c r="H2420" s="5" t="s">
        <v>21</v>
      </c>
      <c r="I2420" s="5" t="s">
        <v>6185</v>
      </c>
      <c r="J2420" s="12" t="str">
        <f>HYPERLINK("https://www.boe.es/gazeta/dias/1803/04/26/pdfs/GMD-1803-33.pdf#page=9","Abrir facsímil")</f>
        <v>Abrir facsímil</v>
      </c>
      <c r="K2420" s="15" t="s">
        <v>23</v>
      </c>
    </row>
    <row r="2421" spans="1:11" ht="42" customHeight="1">
      <c r="A2421" s="4" t="s">
        <v>6186</v>
      </c>
      <c r="B2421" s="5" t="s">
        <v>6187</v>
      </c>
      <c r="C2421" s="5" t="s">
        <v>18</v>
      </c>
      <c r="D2421" s="5" t="s">
        <v>19</v>
      </c>
      <c r="E2421" s="5" t="s">
        <v>218</v>
      </c>
      <c r="F2421" s="9">
        <v>19</v>
      </c>
      <c r="G2421" s="9">
        <v>201</v>
      </c>
      <c r="H2421" s="5" t="s">
        <v>21</v>
      </c>
      <c r="I2421" s="5" t="s">
        <v>6188</v>
      </c>
      <c r="J2421" s="12" t="str">
        <f>HYPERLINK("https://www.boe.es/gazeta/dias/1803/03/08/pdfs/GMD-1803-19.pdf#page=9","Abrir facsímil")</f>
        <v>Abrir facsímil</v>
      </c>
      <c r="K2421" s="15" t="s">
        <v>23</v>
      </c>
    </row>
    <row r="2422" spans="1:11" ht="42" customHeight="1">
      <c r="A2422" s="4" t="s">
        <v>6186</v>
      </c>
      <c r="B2422" s="5" t="s">
        <v>6187</v>
      </c>
      <c r="C2422" s="5" t="s">
        <v>40</v>
      </c>
      <c r="D2422" s="5" t="s">
        <v>41</v>
      </c>
      <c r="E2422" s="5" t="s">
        <v>361</v>
      </c>
      <c r="F2422" s="9">
        <v>62</v>
      </c>
      <c r="G2422" s="9">
        <v>675</v>
      </c>
      <c r="H2422" s="5" t="s">
        <v>21</v>
      </c>
      <c r="I2422" s="5" t="s">
        <v>6189</v>
      </c>
      <c r="J2422" s="12" t="str">
        <f>HYPERLINK("https://www.boe.es/gazeta/dias/1803/08/05/pdfs/GMD-1803-62.pdf#page=7","Abrir facsímil")</f>
        <v>Abrir facsímil</v>
      </c>
      <c r="K2422" s="15" t="s">
        <v>23</v>
      </c>
    </row>
    <row r="2423" spans="1:11" ht="42" customHeight="1">
      <c r="A2423" s="4" t="s">
        <v>6190</v>
      </c>
      <c r="B2423" s="5" t="s">
        <v>6191</v>
      </c>
      <c r="C2423" s="5" t="s">
        <v>51</v>
      </c>
      <c r="D2423" s="5" t="s">
        <v>52</v>
      </c>
      <c r="E2423" s="5" t="s">
        <v>258</v>
      </c>
      <c r="F2423" s="9">
        <v>7</v>
      </c>
      <c r="G2423" s="9">
        <v>71</v>
      </c>
      <c r="H2423" s="5" t="s">
        <v>21</v>
      </c>
      <c r="I2423" s="5" t="s">
        <v>6192</v>
      </c>
      <c r="J2423" s="12" t="str">
        <f>HYPERLINK("https://www.boe.es/gazeta/dias/1803/01/25/pdfs/GMD-1803-7.pdf#page=11","Abrir facsímil")</f>
        <v>Abrir facsímil</v>
      </c>
      <c r="K2423" s="15" t="s">
        <v>6193</v>
      </c>
    </row>
    <row r="2424" spans="1:11" ht="42" customHeight="1">
      <c r="A2424" s="4" t="s">
        <v>6194</v>
      </c>
      <c r="B2424" s="5" t="s">
        <v>6194</v>
      </c>
      <c r="C2424" s="5" t="s">
        <v>26</v>
      </c>
      <c r="D2424" s="5" t="s">
        <v>27</v>
      </c>
      <c r="E2424" s="5" t="s">
        <v>263</v>
      </c>
      <c r="F2424" s="9">
        <v>75</v>
      </c>
      <c r="G2424" s="9">
        <v>811</v>
      </c>
      <c r="H2424" s="5" t="s">
        <v>21</v>
      </c>
      <c r="I2424" s="5" t="s">
        <v>6195</v>
      </c>
      <c r="J2424" s="12" t="str">
        <f>HYPERLINK("https://www.boe.es/gazeta/dias/1803/09/16/pdfs/GMD-1803-75.pdf#page=7","Abrir facsímil")</f>
        <v>Abrir facsímil</v>
      </c>
      <c r="K2424" s="15" t="s">
        <v>23</v>
      </c>
    </row>
    <row r="2425" spans="1:11" ht="42" customHeight="1">
      <c r="A2425" s="4" t="s">
        <v>6196</v>
      </c>
      <c r="B2425" s="5" t="s">
        <v>6197</v>
      </c>
      <c r="C2425" s="5" t="s">
        <v>26</v>
      </c>
      <c r="D2425" s="5" t="s">
        <v>27</v>
      </c>
      <c r="E2425" s="5" t="s">
        <v>919</v>
      </c>
      <c r="F2425" s="9">
        <v>69</v>
      </c>
      <c r="G2425" s="9">
        <v>749</v>
      </c>
      <c r="H2425" s="5" t="s">
        <v>21</v>
      </c>
      <c r="I2425" s="5" t="s">
        <v>6198</v>
      </c>
      <c r="J2425" s="12" t="str">
        <f>HYPERLINK("https://www.boe.es/gazeta/dias/1803/08/30/pdfs/GMD-1803-69.pdf#page=5","Abrir facsímil")</f>
        <v>Abrir facsímil</v>
      </c>
      <c r="K2425" s="15" t="s">
        <v>23</v>
      </c>
    </row>
    <row r="2426" spans="1:11" ht="42" customHeight="1">
      <c r="A2426" s="4" t="s">
        <v>6199</v>
      </c>
      <c r="B2426" s="5" t="s">
        <v>6200</v>
      </c>
      <c r="C2426" s="5" t="s">
        <v>874</v>
      </c>
      <c r="D2426" s="5" t="s">
        <v>875</v>
      </c>
      <c r="E2426" s="5" t="s">
        <v>480</v>
      </c>
      <c r="F2426" s="9">
        <v>87</v>
      </c>
      <c r="G2426" s="9" t="s">
        <v>876</v>
      </c>
      <c r="H2426" s="5" t="s">
        <v>21</v>
      </c>
      <c r="I2426" s="5" t="s">
        <v>6201</v>
      </c>
      <c r="J2426" s="12" t="str">
        <f>HYPERLINK("https://www.boe.es/gazeta/dias/1803/10/28/pdfs/GMD-C-1803-87.pdf#page=1","Abrir facsímil")</f>
        <v>Abrir facsímil</v>
      </c>
      <c r="K2426" s="15" t="s">
        <v>23</v>
      </c>
    </row>
    <row r="2427" spans="1:11" ht="42" customHeight="1">
      <c r="A2427" s="4" t="s">
        <v>6202</v>
      </c>
      <c r="B2427" s="5" t="s">
        <v>6203</v>
      </c>
      <c r="C2427" s="5" t="s">
        <v>40</v>
      </c>
      <c r="D2427" s="5" t="s">
        <v>41</v>
      </c>
      <c r="E2427" s="5" t="s">
        <v>53</v>
      </c>
      <c r="F2427" s="9">
        <v>99</v>
      </c>
      <c r="G2427" s="9">
        <v>1057</v>
      </c>
      <c r="H2427" s="5" t="s">
        <v>21</v>
      </c>
      <c r="I2427" s="5" t="s">
        <v>6204</v>
      </c>
      <c r="J2427" s="12" t="str">
        <f>HYPERLINK("https://www.boe.es/gazeta/dias/1803/12/09/pdfs/GMD-1803-99.pdf#page=5","Abrir facsímil")</f>
        <v>Abrir facsímil</v>
      </c>
      <c r="K2427" s="15" t="s">
        <v>23</v>
      </c>
    </row>
    <row r="2428" spans="1:11" ht="42" customHeight="1">
      <c r="A2428" s="4" t="s">
        <v>6205</v>
      </c>
      <c r="B2428" s="5" t="s">
        <v>6206</v>
      </c>
      <c r="C2428" s="5" t="s">
        <v>26</v>
      </c>
      <c r="D2428" s="5" t="s">
        <v>27</v>
      </c>
      <c r="E2428" s="5" t="s">
        <v>148</v>
      </c>
      <c r="F2428" s="9">
        <v>15</v>
      </c>
      <c r="G2428" s="9">
        <v>157</v>
      </c>
      <c r="H2428" s="5" t="s">
        <v>21</v>
      </c>
      <c r="I2428" s="5" t="s">
        <v>6207</v>
      </c>
      <c r="J2428" s="12" t="str">
        <f>HYPERLINK("https://www.boe.es/gazeta/dias/1803/02/22/pdfs/GMD-1803-15.pdf#page=9","Abrir facsímil")</f>
        <v>Abrir facsímil</v>
      </c>
      <c r="K2428" s="15" t="s">
        <v>23</v>
      </c>
    </row>
    <row r="2429" spans="1:11" ht="42" customHeight="1">
      <c r="A2429" s="4" t="s">
        <v>6208</v>
      </c>
      <c r="B2429" s="5" t="s">
        <v>6209</v>
      </c>
      <c r="C2429" s="5" t="s">
        <v>26</v>
      </c>
      <c r="D2429" s="5" t="s">
        <v>27</v>
      </c>
      <c r="E2429" s="5" t="s">
        <v>571</v>
      </c>
      <c r="F2429" s="9">
        <v>103</v>
      </c>
      <c r="G2429" s="9">
        <v>1106</v>
      </c>
      <c r="H2429" s="5" t="s">
        <v>21</v>
      </c>
      <c r="I2429" s="5" t="s">
        <v>6210</v>
      </c>
      <c r="J2429" s="12" t="str">
        <f>HYPERLINK("https://www.boe.es/gazeta/dias/1803/12/23/pdfs/GMD-1803-103.pdf#page=6","Abrir facsímil")</f>
        <v>Abrir facsímil</v>
      </c>
      <c r="K2429" s="15" t="s">
        <v>23</v>
      </c>
    </row>
    <row r="2430" spans="1:11" ht="42" customHeight="1">
      <c r="A2430" s="4" t="s">
        <v>6211</v>
      </c>
      <c r="B2430" s="5" t="s">
        <v>6212</v>
      </c>
      <c r="C2430" s="5" t="s">
        <v>26</v>
      </c>
      <c r="D2430" s="5" t="s">
        <v>27</v>
      </c>
      <c r="E2430" s="5" t="s">
        <v>218</v>
      </c>
      <c r="F2430" s="9">
        <v>19</v>
      </c>
      <c r="G2430" s="9">
        <v>202</v>
      </c>
      <c r="H2430" s="5" t="s">
        <v>21</v>
      </c>
      <c r="I2430" s="5" t="s">
        <v>6213</v>
      </c>
      <c r="J2430" s="12" t="str">
        <f>HYPERLINK("https://www.boe.es/gazeta/dias/1803/03/08/pdfs/GMD-1803-19.pdf#page=10","Abrir facsímil")</f>
        <v>Abrir facsímil</v>
      </c>
      <c r="K2430" s="15" t="s">
        <v>23</v>
      </c>
    </row>
    <row r="2431" spans="1:11" ht="42" customHeight="1">
      <c r="A2431" s="4" t="s">
        <v>6214</v>
      </c>
      <c r="B2431" s="5" t="s">
        <v>6214</v>
      </c>
      <c r="C2431" s="5" t="s">
        <v>80</v>
      </c>
      <c r="D2431" s="5" t="s">
        <v>81</v>
      </c>
      <c r="E2431" s="5" t="s">
        <v>174</v>
      </c>
      <c r="F2431" s="9">
        <v>21</v>
      </c>
      <c r="G2431" s="9">
        <v>228</v>
      </c>
      <c r="H2431" s="5" t="s">
        <v>21</v>
      </c>
      <c r="I2431" s="5" t="s">
        <v>6215</v>
      </c>
      <c r="J2431" s="12" t="str">
        <f>HYPERLINK("https://www.boe.es/gazeta/dias/1803/03/15/pdfs/GMD-1803-21.pdf#page=12","Abrir facsímil")</f>
        <v>Abrir facsímil</v>
      </c>
      <c r="K2431" s="15" t="s">
        <v>23</v>
      </c>
    </row>
    <row r="2432" spans="1:11" ht="42" customHeight="1">
      <c r="A2432" s="4" t="s">
        <v>6216</v>
      </c>
      <c r="B2432" s="5" t="s">
        <v>6217</v>
      </c>
      <c r="C2432" s="5" t="s">
        <v>26</v>
      </c>
      <c r="D2432" s="5" t="s">
        <v>27</v>
      </c>
      <c r="E2432" s="5" t="s">
        <v>218</v>
      </c>
      <c r="F2432" s="9">
        <v>19</v>
      </c>
      <c r="G2432" s="9">
        <v>201</v>
      </c>
      <c r="H2432" s="5" t="s">
        <v>21</v>
      </c>
      <c r="I2432" s="5" t="s">
        <v>6218</v>
      </c>
      <c r="J2432" s="12" t="str">
        <f>HYPERLINK("https://www.boe.es/gazeta/dias/1803/03/08/pdfs/GMD-1803-19.pdf#page=9","Abrir facsímil")</f>
        <v>Abrir facsímil</v>
      </c>
      <c r="K2432" s="15" t="s">
        <v>23</v>
      </c>
    </row>
    <row r="2433" spans="1:11" ht="42" customHeight="1">
      <c r="A2433" s="4" t="s">
        <v>6219</v>
      </c>
      <c r="B2433" s="5" t="s">
        <v>6220</v>
      </c>
      <c r="C2433" s="5" t="s">
        <v>51</v>
      </c>
      <c r="D2433" s="5" t="s">
        <v>52</v>
      </c>
      <c r="E2433" s="5" t="s">
        <v>285</v>
      </c>
      <c r="F2433" s="9">
        <v>5</v>
      </c>
      <c r="G2433" s="9">
        <v>46</v>
      </c>
      <c r="H2433" s="5" t="s">
        <v>21</v>
      </c>
      <c r="I2433" s="5" t="s">
        <v>6221</v>
      </c>
      <c r="J2433" s="12" t="str">
        <f>HYPERLINK("https://www.boe.es/gazeta/dias/1803/01/18/pdfs/GMD-1803-5.pdf#page=10","Abrir facsímil")</f>
        <v>Abrir facsímil</v>
      </c>
      <c r="K2433" s="15" t="s">
        <v>23</v>
      </c>
    </row>
    <row r="2434" spans="1:11" ht="42" customHeight="1">
      <c r="A2434" s="4" t="s">
        <v>6219</v>
      </c>
      <c r="B2434" s="5" t="s">
        <v>6220</v>
      </c>
      <c r="C2434" s="5" t="s">
        <v>46</v>
      </c>
      <c r="D2434" s="5" t="s">
        <v>19</v>
      </c>
      <c r="E2434" s="5" t="s">
        <v>336</v>
      </c>
      <c r="F2434" s="9">
        <v>105</v>
      </c>
      <c r="G2434" s="9">
        <v>1122</v>
      </c>
      <c r="H2434" s="5" t="s">
        <v>21</v>
      </c>
      <c r="I2434" s="5" t="s">
        <v>6222</v>
      </c>
      <c r="J2434" s="12" t="str">
        <f>HYPERLINK("https://www.boe.es/gazeta/dias/1803/12/30/pdfs/GMD-1803-105.pdf#page=6","Abrir facsímil")</f>
        <v>Abrir facsímil</v>
      </c>
      <c r="K2434" s="15" t="s">
        <v>23</v>
      </c>
    </row>
    <row r="2435" spans="1:11" ht="42" customHeight="1">
      <c r="A2435" s="4" t="s">
        <v>6223</v>
      </c>
      <c r="B2435" s="5" t="s">
        <v>6224</v>
      </c>
      <c r="C2435" s="5" t="s">
        <v>26</v>
      </c>
      <c r="D2435" s="5" t="s">
        <v>27</v>
      </c>
      <c r="E2435" s="5" t="s">
        <v>1915</v>
      </c>
      <c r="F2435" s="9">
        <v>44</v>
      </c>
      <c r="G2435" s="9">
        <v>453</v>
      </c>
      <c r="H2435" s="5" t="s">
        <v>21</v>
      </c>
      <c r="I2435" s="5" t="s">
        <v>6225</v>
      </c>
      <c r="J2435" s="12" t="str">
        <f>HYPERLINK("https://www.boe.es/gazeta/dias/1803/06/03/pdfs/GMD-1803-44.pdf#page=1","Abrir facsímil")</f>
        <v>Abrir facsímil</v>
      </c>
      <c r="K2435" s="15" t="s">
        <v>23</v>
      </c>
    </row>
    <row r="2436" spans="1:11" ht="42" customHeight="1">
      <c r="A2436" s="4" t="s">
        <v>6226</v>
      </c>
      <c r="B2436" s="5" t="s">
        <v>6226</v>
      </c>
      <c r="C2436" s="5" t="s">
        <v>26</v>
      </c>
      <c r="D2436" s="5" t="s">
        <v>27</v>
      </c>
      <c r="E2436" s="5" t="s">
        <v>369</v>
      </c>
      <c r="F2436" s="9">
        <v>100</v>
      </c>
      <c r="G2436" s="9">
        <v>1072</v>
      </c>
      <c r="H2436" s="5" t="s">
        <v>21</v>
      </c>
      <c r="I2436" s="5" t="s">
        <v>6227</v>
      </c>
      <c r="J2436" s="12" t="str">
        <f>HYPERLINK("https://www.boe.es/gazeta/dias/1803/12/13/pdfs/GMD-1803-100.pdf#page=8","Abrir facsímil")</f>
        <v>Abrir facsímil</v>
      </c>
      <c r="K2436" s="15" t="s">
        <v>23</v>
      </c>
    </row>
    <row r="2437" spans="1:11" ht="42" customHeight="1">
      <c r="A2437" s="4" t="s">
        <v>6228</v>
      </c>
      <c r="B2437" s="5" t="s">
        <v>6229</v>
      </c>
      <c r="C2437" s="5" t="s">
        <v>40</v>
      </c>
      <c r="D2437" s="5" t="s">
        <v>41</v>
      </c>
      <c r="E2437" s="5" t="s">
        <v>293</v>
      </c>
      <c r="F2437" s="9">
        <v>45</v>
      </c>
      <c r="G2437" s="9">
        <v>465</v>
      </c>
      <c r="H2437" s="5" t="s">
        <v>21</v>
      </c>
      <c r="I2437" s="5" t="s">
        <v>6230</v>
      </c>
      <c r="J2437" s="12" t="str">
        <f>HYPERLINK("https://www.boe.es/gazeta/dias/1803/06/07/pdfs/GMD-1803-45.pdf#page=1","Abrir facsímil")</f>
        <v>Abrir facsímil</v>
      </c>
      <c r="K2437" s="15" t="s">
        <v>23</v>
      </c>
    </row>
    <row r="2438" spans="1:11" ht="42" customHeight="1">
      <c r="A2438" s="4" t="s">
        <v>6231</v>
      </c>
      <c r="B2438" s="5" t="s">
        <v>6232</v>
      </c>
      <c r="C2438" s="5" t="s">
        <v>40</v>
      </c>
      <c r="D2438" s="5" t="s">
        <v>41</v>
      </c>
      <c r="E2438" s="5" t="s">
        <v>752</v>
      </c>
      <c r="F2438" s="9">
        <v>30</v>
      </c>
      <c r="G2438" s="9">
        <v>313</v>
      </c>
      <c r="H2438" s="5" t="s">
        <v>21</v>
      </c>
      <c r="I2438" s="5" t="s">
        <v>6233</v>
      </c>
      <c r="J2438" s="12" t="str">
        <f>HYPERLINK("https://www.boe.es/gazeta/dias/1803/04/15/pdfs/GMD-1803-30.pdf#page=1","Abrir facsímil")</f>
        <v>Abrir facsímil</v>
      </c>
      <c r="K2438" s="15" t="s">
        <v>23</v>
      </c>
    </row>
    <row r="2439" spans="1:11" ht="42" customHeight="1">
      <c r="A2439" s="4" t="s">
        <v>6234</v>
      </c>
      <c r="B2439" s="5" t="s">
        <v>6235</v>
      </c>
      <c r="C2439" s="5" t="s">
        <v>40</v>
      </c>
      <c r="D2439" s="5" t="s">
        <v>41</v>
      </c>
      <c r="E2439" s="5" t="s">
        <v>256</v>
      </c>
      <c r="F2439" s="9">
        <v>1</v>
      </c>
      <c r="G2439" s="9">
        <v>2</v>
      </c>
      <c r="H2439" s="5" t="s">
        <v>21</v>
      </c>
      <c r="I2439" s="5" t="s">
        <v>6236</v>
      </c>
      <c r="J2439" s="12" t="str">
        <f>HYPERLINK("https://www.boe.es/gazeta/dias/1803/01/04/pdfs/GMD-1803-1.pdf#page=2","Abrir facsímil")</f>
        <v>Abrir facsímil</v>
      </c>
      <c r="K2439" s="15" t="s">
        <v>23</v>
      </c>
    </row>
    <row r="2440" spans="1:11" ht="42" customHeight="1">
      <c r="A2440" s="4" t="s">
        <v>6237</v>
      </c>
      <c r="B2440" s="5" t="s">
        <v>6238</v>
      </c>
      <c r="C2440" s="5" t="s">
        <v>40</v>
      </c>
      <c r="D2440" s="5" t="s">
        <v>41</v>
      </c>
      <c r="E2440" s="5" t="s">
        <v>752</v>
      </c>
      <c r="F2440" s="9">
        <v>30</v>
      </c>
      <c r="G2440" s="9">
        <v>313</v>
      </c>
      <c r="H2440" s="5" t="s">
        <v>21</v>
      </c>
      <c r="I2440" s="5" t="s">
        <v>6239</v>
      </c>
      <c r="J2440" s="12" t="str">
        <f>HYPERLINK("https://www.boe.es/gazeta/dias/1803/04/15/pdfs/GMD-1803-30.pdf#page=1","Abrir facsímil")</f>
        <v>Abrir facsímil</v>
      </c>
      <c r="K2440" s="15" t="s">
        <v>23</v>
      </c>
    </row>
    <row r="2441" spans="1:11" ht="42" customHeight="1">
      <c r="A2441" s="4" t="s">
        <v>6237</v>
      </c>
      <c r="B2441" s="5" t="s">
        <v>6238</v>
      </c>
      <c r="C2441" s="5" t="s">
        <v>40</v>
      </c>
      <c r="D2441" s="5" t="s">
        <v>41</v>
      </c>
      <c r="E2441" s="5" t="s">
        <v>102</v>
      </c>
      <c r="F2441" s="9">
        <v>31</v>
      </c>
      <c r="G2441" s="9">
        <v>321</v>
      </c>
      <c r="H2441" s="5" t="s">
        <v>21</v>
      </c>
      <c r="I2441" s="5" t="s">
        <v>6240</v>
      </c>
      <c r="J2441" s="12" t="str">
        <f>HYPERLINK("https://www.boe.es/gazeta/dias/1803/04/19/pdfs/GMD-1803-31.pdf#page=1","Abrir facsímil")</f>
        <v>Abrir facsímil</v>
      </c>
      <c r="K2441" s="15" t="s">
        <v>23</v>
      </c>
    </row>
    <row r="2442" spans="1:11" ht="42" customHeight="1">
      <c r="A2442" s="4" t="s">
        <v>6237</v>
      </c>
      <c r="B2442" s="5" t="s">
        <v>6238</v>
      </c>
      <c r="C2442" s="5" t="s">
        <v>40</v>
      </c>
      <c r="D2442" s="5" t="s">
        <v>41</v>
      </c>
      <c r="E2442" s="5" t="s">
        <v>71</v>
      </c>
      <c r="F2442" s="9">
        <v>39</v>
      </c>
      <c r="G2442" s="9">
        <v>406</v>
      </c>
      <c r="H2442" s="5" t="s">
        <v>21</v>
      </c>
      <c r="I2442" s="5" t="s">
        <v>6241</v>
      </c>
      <c r="J2442" s="12" t="str">
        <f>HYPERLINK("https://www.boe.es/gazeta/dias/1803/05/17/pdfs/GMD-1803-39.pdf#page=2","Abrir facsímil")</f>
        <v>Abrir facsímil</v>
      </c>
      <c r="K2442" s="15" t="s">
        <v>23</v>
      </c>
    </row>
    <row r="2443" spans="1:11" ht="42" customHeight="1">
      <c r="A2443" s="4" t="s">
        <v>6237</v>
      </c>
      <c r="B2443" s="5" t="s">
        <v>6238</v>
      </c>
      <c r="C2443" s="5" t="s">
        <v>40</v>
      </c>
      <c r="D2443" s="5" t="s">
        <v>41</v>
      </c>
      <c r="E2443" s="5" t="s">
        <v>514</v>
      </c>
      <c r="F2443" s="9">
        <v>42</v>
      </c>
      <c r="G2443" s="9">
        <v>433</v>
      </c>
      <c r="H2443" s="5" t="s">
        <v>21</v>
      </c>
      <c r="I2443" s="5" t="s">
        <v>6242</v>
      </c>
      <c r="J2443" s="12" t="str">
        <f>HYPERLINK("https://www.boe.es/gazeta/dias/1803/05/27/pdfs/GMD-1803-42.pdf#page=1","Abrir facsímil")</f>
        <v>Abrir facsímil</v>
      </c>
      <c r="K2443" s="15" t="s">
        <v>23</v>
      </c>
    </row>
    <row r="2444" spans="1:11" ht="42" customHeight="1">
      <c r="A2444" s="4" t="s">
        <v>6237</v>
      </c>
      <c r="B2444" s="5" t="s">
        <v>6238</v>
      </c>
      <c r="C2444" s="5" t="s">
        <v>40</v>
      </c>
      <c r="D2444" s="5" t="s">
        <v>41</v>
      </c>
      <c r="E2444" s="5" t="s">
        <v>64</v>
      </c>
      <c r="F2444" s="9">
        <v>65</v>
      </c>
      <c r="G2444" s="9">
        <v>703</v>
      </c>
      <c r="H2444" s="5" t="s">
        <v>21</v>
      </c>
      <c r="I2444" s="5" t="s">
        <v>6243</v>
      </c>
      <c r="J2444" s="12" t="str">
        <f>HYPERLINK("https://www.boe.es/gazeta/dias/1803/08/16/pdfs/GMD-1803-65.pdf#page=3","Abrir facsímil")</f>
        <v>Abrir facsímil</v>
      </c>
      <c r="K2444" s="15" t="s">
        <v>23</v>
      </c>
    </row>
    <row r="2445" spans="1:11" ht="42" customHeight="1">
      <c r="A2445" s="4" t="s">
        <v>6237</v>
      </c>
      <c r="B2445" s="5" t="s">
        <v>6238</v>
      </c>
      <c r="C2445" s="5" t="s">
        <v>40</v>
      </c>
      <c r="D2445" s="5" t="s">
        <v>41</v>
      </c>
      <c r="E2445" s="5" t="s">
        <v>36</v>
      </c>
      <c r="F2445" s="9">
        <v>79</v>
      </c>
      <c r="G2445" s="9">
        <v>850</v>
      </c>
      <c r="H2445" s="5" t="s">
        <v>21</v>
      </c>
      <c r="I2445" s="5" t="s">
        <v>6244</v>
      </c>
      <c r="J2445" s="12" t="str">
        <f>HYPERLINK("https://www.boe.es/gazeta/dias/1803/09/30/pdfs/GMD-1803-79.pdf#page=2","Abrir facsímil")</f>
        <v>Abrir facsímil</v>
      </c>
      <c r="K2445" s="15" t="s">
        <v>23</v>
      </c>
    </row>
    <row r="2446" spans="1:11" ht="42" customHeight="1">
      <c r="A2446" s="4" t="s">
        <v>6237</v>
      </c>
      <c r="B2446" s="5" t="s">
        <v>6238</v>
      </c>
      <c r="C2446" s="5" t="s">
        <v>40</v>
      </c>
      <c r="D2446" s="5" t="s">
        <v>41</v>
      </c>
      <c r="E2446" s="5" t="s">
        <v>199</v>
      </c>
      <c r="F2446" s="9">
        <v>88</v>
      </c>
      <c r="G2446" s="9">
        <v>941</v>
      </c>
      <c r="H2446" s="5" t="s">
        <v>21</v>
      </c>
      <c r="I2446" s="5" t="s">
        <v>6245</v>
      </c>
      <c r="J2446" s="12" t="str">
        <f>HYPERLINK("https://www.boe.es/gazeta/dias/1803/11/01/pdfs/GMD-1803-88.pdf#page=1","Abrir facsímil")</f>
        <v>Abrir facsímil</v>
      </c>
      <c r="K2446" s="15" t="s">
        <v>23</v>
      </c>
    </row>
    <row r="2447" spans="1:11" ht="42" customHeight="1">
      <c r="A2447" s="4" t="s">
        <v>6237</v>
      </c>
      <c r="B2447" s="5" t="s">
        <v>6238</v>
      </c>
      <c r="C2447" s="5" t="s">
        <v>51</v>
      </c>
      <c r="D2447" s="5" t="s">
        <v>52</v>
      </c>
      <c r="E2447" s="5" t="s">
        <v>300</v>
      </c>
      <c r="F2447" s="9">
        <v>96</v>
      </c>
      <c r="G2447" s="9">
        <v>1027</v>
      </c>
      <c r="H2447" s="5" t="s">
        <v>21</v>
      </c>
      <c r="I2447" s="5" t="s">
        <v>6246</v>
      </c>
      <c r="J2447" s="12" t="str">
        <f>HYPERLINK("https://www.boe.es/gazeta/dias/1803/11/29/pdfs/GMD-1803-96.pdf#page=3","Abrir facsímil")</f>
        <v>Abrir facsímil</v>
      </c>
      <c r="K2447" s="15" t="s">
        <v>23</v>
      </c>
    </row>
    <row r="2448" spans="1:11" ht="42" customHeight="1">
      <c r="A2448" s="4" t="s">
        <v>6237</v>
      </c>
      <c r="B2448" s="5" t="s">
        <v>6238</v>
      </c>
      <c r="C2448" s="5" t="s">
        <v>40</v>
      </c>
      <c r="D2448" s="5" t="s">
        <v>41</v>
      </c>
      <c r="E2448" s="5" t="s">
        <v>369</v>
      </c>
      <c r="F2448" s="9">
        <v>100</v>
      </c>
      <c r="G2448" s="9">
        <v>1065</v>
      </c>
      <c r="H2448" s="5" t="s">
        <v>21</v>
      </c>
      <c r="I2448" s="5" t="s">
        <v>6247</v>
      </c>
      <c r="J2448" s="12" t="str">
        <f>HYPERLINK("https://www.boe.es/gazeta/dias/1803/12/13/pdfs/GMD-1803-100.pdf#page=1","Abrir facsímil")</f>
        <v>Abrir facsímil</v>
      </c>
      <c r="K2448" s="15" t="s">
        <v>23</v>
      </c>
    </row>
    <row r="2449" spans="1:11" ht="42" customHeight="1">
      <c r="A2449" s="4" t="s">
        <v>6248</v>
      </c>
      <c r="B2449" s="5" t="s">
        <v>6249</v>
      </c>
      <c r="C2449" s="5" t="s">
        <v>26</v>
      </c>
      <c r="D2449" s="5" t="s">
        <v>27</v>
      </c>
      <c r="E2449" s="5" t="s">
        <v>71</v>
      </c>
      <c r="F2449" s="9">
        <v>39</v>
      </c>
      <c r="G2449" s="9">
        <v>412</v>
      </c>
      <c r="H2449" s="5" t="s">
        <v>21</v>
      </c>
      <c r="I2449" s="5" t="s">
        <v>6250</v>
      </c>
      <c r="J2449" s="12" t="str">
        <f>HYPERLINK("https://www.boe.es/gazeta/dias/1803/05/17/pdfs/GMD-1803-39.pdf#page=8","Abrir facsímil")</f>
        <v>Abrir facsímil</v>
      </c>
      <c r="K2449" s="15" t="s">
        <v>23</v>
      </c>
    </row>
    <row r="2450" spans="1:11" ht="42" customHeight="1">
      <c r="A2450" s="4" t="s">
        <v>6251</v>
      </c>
      <c r="B2450" s="5" t="s">
        <v>6252</v>
      </c>
      <c r="C2450" s="5" t="s">
        <v>80</v>
      </c>
      <c r="D2450" s="5" t="s">
        <v>81</v>
      </c>
      <c r="E2450" s="5" t="s">
        <v>71</v>
      </c>
      <c r="F2450" s="9">
        <v>39</v>
      </c>
      <c r="G2450" s="9">
        <v>416</v>
      </c>
      <c r="H2450" s="5" t="s">
        <v>21</v>
      </c>
      <c r="I2450" s="5" t="s">
        <v>6253</v>
      </c>
      <c r="J2450" s="12" t="str">
        <f>HYPERLINK("https://www.boe.es/gazeta/dias/1803/05/17/pdfs/GMD-1803-39.pdf#page=12","Abrir facsímil")</f>
        <v>Abrir facsímil</v>
      </c>
      <c r="K2450" s="15" t="s">
        <v>23</v>
      </c>
    </row>
    <row r="2451" spans="1:11" ht="42" customHeight="1">
      <c r="A2451" s="4" t="s">
        <v>6254</v>
      </c>
      <c r="B2451" s="5" t="s">
        <v>6255</v>
      </c>
      <c r="C2451" s="5" t="s">
        <v>26</v>
      </c>
      <c r="D2451" s="5" t="s">
        <v>27</v>
      </c>
      <c r="E2451" s="5" t="s">
        <v>138</v>
      </c>
      <c r="F2451" s="9">
        <v>68</v>
      </c>
      <c r="G2451" s="9">
        <v>742</v>
      </c>
      <c r="H2451" s="5" t="s">
        <v>21</v>
      </c>
      <c r="I2451" s="5" t="s">
        <v>6256</v>
      </c>
      <c r="J2451" s="12" t="str">
        <f>HYPERLINK("https://www.boe.es/gazeta/dias/1803/08/26/pdfs/GMD-1803-68.pdf#page=10","Abrir facsímil")</f>
        <v>Abrir facsímil</v>
      </c>
      <c r="K2451" s="15" t="s">
        <v>23</v>
      </c>
    </row>
    <row r="2452" spans="1:11" ht="42" customHeight="1">
      <c r="A2452" s="4" t="s">
        <v>6257</v>
      </c>
      <c r="B2452" s="5" t="s">
        <v>6258</v>
      </c>
      <c r="C2452" s="5" t="s">
        <v>26</v>
      </c>
      <c r="D2452" s="5" t="s">
        <v>27</v>
      </c>
      <c r="E2452" s="5" t="s">
        <v>967</v>
      </c>
      <c r="F2452" s="9">
        <v>35</v>
      </c>
      <c r="G2452" s="9">
        <v>367</v>
      </c>
      <c r="H2452" s="5" t="s">
        <v>21</v>
      </c>
      <c r="I2452" s="5" t="s">
        <v>6259</v>
      </c>
      <c r="J2452" s="12" t="str">
        <f>HYPERLINK("https://www.boe.es/gazeta/dias/1803/05/03/pdfs/GMD-1803-35.pdf#page=7","Abrir facsímil")</f>
        <v>Abrir facsímil</v>
      </c>
      <c r="K2452" s="15" t="s">
        <v>23</v>
      </c>
    </row>
    <row r="2453" spans="1:11" ht="42" customHeight="1">
      <c r="A2453" s="4" t="s">
        <v>6260</v>
      </c>
      <c r="B2453" s="5" t="s">
        <v>6260</v>
      </c>
      <c r="C2453" s="5" t="s">
        <v>18</v>
      </c>
      <c r="D2453" s="5" t="s">
        <v>19</v>
      </c>
      <c r="E2453" s="5" t="s">
        <v>20</v>
      </c>
      <c r="F2453" s="9">
        <v>97</v>
      </c>
      <c r="G2453" s="9">
        <v>1044</v>
      </c>
      <c r="H2453" s="5" t="s">
        <v>21</v>
      </c>
      <c r="I2453" s="5" t="s">
        <v>6261</v>
      </c>
      <c r="J2453" s="12" t="str">
        <f>HYPERLINK("https://www.boe.es/gazeta/dias/1803/12/02/pdfs/GMD-1803-97.pdf#page=8","Abrir facsímil")</f>
        <v>Abrir facsímil</v>
      </c>
      <c r="K2453" s="15" t="s">
        <v>23</v>
      </c>
    </row>
    <row r="2454" spans="1:11" ht="42" customHeight="1">
      <c r="A2454" s="4" t="s">
        <v>6262</v>
      </c>
      <c r="B2454" s="5" t="s">
        <v>6263</v>
      </c>
      <c r="C2454" s="5" t="s">
        <v>26</v>
      </c>
      <c r="D2454" s="5" t="s">
        <v>27</v>
      </c>
      <c r="E2454" s="5" t="s">
        <v>328</v>
      </c>
      <c r="F2454" s="9">
        <v>54</v>
      </c>
      <c r="G2454" s="9">
        <v>590</v>
      </c>
      <c r="H2454" s="5" t="s">
        <v>21</v>
      </c>
      <c r="I2454" s="5" t="s">
        <v>6264</v>
      </c>
      <c r="J2454" s="12" t="str">
        <f>HYPERLINK("https://www.boe.es/gazeta/dias/1803/07/08/pdfs/GMD-1803-54.pdf#page=10","Abrir facsímil")</f>
        <v>Abrir facsímil</v>
      </c>
      <c r="K2454" s="15" t="s">
        <v>23</v>
      </c>
    </row>
    <row r="2455" spans="1:11" ht="42" customHeight="1">
      <c r="A2455" s="4" t="s">
        <v>6265</v>
      </c>
      <c r="B2455" s="5" t="s">
        <v>6266</v>
      </c>
      <c r="C2455" s="5" t="s">
        <v>46</v>
      </c>
      <c r="D2455" s="5" t="s">
        <v>19</v>
      </c>
      <c r="E2455" s="5" t="s">
        <v>555</v>
      </c>
      <c r="F2455" s="9">
        <v>83</v>
      </c>
      <c r="G2455" s="9">
        <v>894</v>
      </c>
      <c r="H2455" s="5" t="s">
        <v>21</v>
      </c>
      <c r="I2455" s="5" t="s">
        <v>6267</v>
      </c>
      <c r="J2455" s="12" t="str">
        <f>HYPERLINK("https://www.boe.es/gazeta/dias/1803/10/14/pdfs/GMD-1803-83.pdf#page=6","Abrir facsímil")</f>
        <v>Abrir facsímil</v>
      </c>
      <c r="K2455" s="15" t="s">
        <v>23</v>
      </c>
    </row>
    <row r="2456" spans="1:11" ht="42" customHeight="1">
      <c r="A2456" s="4" t="s">
        <v>6268</v>
      </c>
      <c r="B2456" s="5" t="s">
        <v>6268</v>
      </c>
      <c r="C2456" s="5" t="s">
        <v>18</v>
      </c>
      <c r="D2456" s="5" t="s">
        <v>19</v>
      </c>
      <c r="E2456" s="5" t="s">
        <v>211</v>
      </c>
      <c r="F2456" s="9">
        <v>71</v>
      </c>
      <c r="G2456" s="9">
        <v>780</v>
      </c>
      <c r="H2456" s="5" t="s">
        <v>21</v>
      </c>
      <c r="I2456" s="5" t="s">
        <v>6269</v>
      </c>
      <c r="J2456" s="12" t="str">
        <f>HYPERLINK("https://www.boe.es/gazeta/dias/1803/09/06/pdfs/GMD-1803-71.pdf#page=12","Abrir facsímil")</f>
        <v>Abrir facsímil</v>
      </c>
      <c r="K2456" s="15" t="s">
        <v>23</v>
      </c>
    </row>
    <row r="2457" spans="1:11" ht="42" customHeight="1">
      <c r="A2457" s="4" t="s">
        <v>6270</v>
      </c>
      <c r="B2457" s="5" t="s">
        <v>6271</v>
      </c>
      <c r="C2457" s="5" t="s">
        <v>18</v>
      </c>
      <c r="D2457" s="5" t="s">
        <v>19</v>
      </c>
      <c r="E2457" s="5" t="s">
        <v>501</v>
      </c>
      <c r="F2457" s="9">
        <v>22</v>
      </c>
      <c r="G2457" s="9">
        <v>238</v>
      </c>
      <c r="H2457" s="5" t="s">
        <v>21</v>
      </c>
      <c r="I2457" s="5" t="s">
        <v>6272</v>
      </c>
      <c r="J2457" s="12" t="str">
        <f>HYPERLINK("https://www.boe.es/gazeta/dias/1803/03/18/pdfs/GMD-1803-22.pdf#page=10","Abrir facsímil")</f>
        <v>Abrir facsímil</v>
      </c>
      <c r="K2457" s="15" t="s">
        <v>23</v>
      </c>
    </row>
    <row r="2458" spans="1:11" ht="42" customHeight="1">
      <c r="A2458" s="4" t="s">
        <v>6273</v>
      </c>
      <c r="B2458" s="5" t="s">
        <v>6273</v>
      </c>
      <c r="C2458" s="5" t="s">
        <v>26</v>
      </c>
      <c r="D2458" s="5" t="s">
        <v>27</v>
      </c>
      <c r="E2458" s="5" t="s">
        <v>132</v>
      </c>
      <c r="F2458" s="9">
        <v>58</v>
      </c>
      <c r="G2458" s="9">
        <v>638</v>
      </c>
      <c r="H2458" s="5" t="s">
        <v>21</v>
      </c>
      <c r="I2458" s="5" t="s">
        <v>6274</v>
      </c>
      <c r="J2458" s="12" t="str">
        <f>HYPERLINK("https://www.boe.es/gazeta/dias/1803/07/22/pdfs/GMD-1803-58.pdf#page=10","Abrir facsímil")</f>
        <v>Abrir facsímil</v>
      </c>
      <c r="K2458" s="15" t="s">
        <v>23</v>
      </c>
    </row>
    <row r="2459" spans="1:11" ht="42" customHeight="1">
      <c r="A2459" s="4" t="s">
        <v>6275</v>
      </c>
      <c r="B2459" s="5" t="s">
        <v>6275</v>
      </c>
      <c r="C2459" s="5" t="s">
        <v>40</v>
      </c>
      <c r="D2459" s="5" t="s">
        <v>41</v>
      </c>
      <c r="E2459" s="5" t="s">
        <v>28</v>
      </c>
      <c r="F2459" s="9">
        <v>92</v>
      </c>
      <c r="G2459" s="9">
        <v>986</v>
      </c>
      <c r="H2459" s="5" t="s">
        <v>21</v>
      </c>
      <c r="I2459" s="5" t="s">
        <v>6276</v>
      </c>
      <c r="J2459" s="12" t="str">
        <f>HYPERLINK("https://www.boe.es/gazeta/dias/1803/11/15/pdfs/GMD-1803-92.pdf#page=6","Abrir facsímil")</f>
        <v>Abrir facsímil</v>
      </c>
      <c r="K2459" s="15" t="s">
        <v>23</v>
      </c>
    </row>
    <row r="2460" spans="1:11" ht="42" customHeight="1">
      <c r="A2460" s="4" t="s">
        <v>6277</v>
      </c>
      <c r="B2460" s="5" t="s">
        <v>6277</v>
      </c>
      <c r="C2460" s="5" t="s">
        <v>18</v>
      </c>
      <c r="D2460" s="5" t="s">
        <v>19</v>
      </c>
      <c r="E2460" s="5" t="s">
        <v>361</v>
      </c>
      <c r="F2460" s="9">
        <v>62</v>
      </c>
      <c r="G2460" s="9">
        <v>675</v>
      </c>
      <c r="H2460" s="5" t="s">
        <v>21</v>
      </c>
      <c r="I2460" s="5" t="s">
        <v>6278</v>
      </c>
      <c r="J2460" s="12" t="str">
        <f>HYPERLINK("https://www.boe.es/gazeta/dias/1803/08/05/pdfs/GMD-1803-62.pdf#page=7","Abrir facsímil")</f>
        <v>Abrir facsímil</v>
      </c>
      <c r="K2460" s="15" t="s">
        <v>23</v>
      </c>
    </row>
    <row r="2461" spans="1:11" ht="42" customHeight="1">
      <c r="A2461" s="4" t="s">
        <v>6279</v>
      </c>
      <c r="B2461" s="5" t="s">
        <v>6279</v>
      </c>
      <c r="C2461" s="5" t="s">
        <v>26</v>
      </c>
      <c r="D2461" s="5" t="s">
        <v>27</v>
      </c>
      <c r="E2461" s="5" t="s">
        <v>191</v>
      </c>
      <c r="F2461" s="9">
        <v>34</v>
      </c>
      <c r="G2461" s="9" t="s">
        <v>1970</v>
      </c>
      <c r="H2461" s="5" t="s">
        <v>21</v>
      </c>
      <c r="I2461" s="5" t="s">
        <v>6280</v>
      </c>
      <c r="J2461" s="12" t="str">
        <f>HYPERLINK("https://www.boe.es/gazeta/dias/1803/04/29/pdfs/GMD-C-1803-34.pdf#page=10","Abrir facsímil")</f>
        <v>Abrir facsímil</v>
      </c>
      <c r="K2461" s="15" t="s">
        <v>23</v>
      </c>
    </row>
    <row r="2462" spans="1:11" ht="42" customHeight="1">
      <c r="A2462" s="4" t="s">
        <v>6281</v>
      </c>
      <c r="B2462" s="5" t="s">
        <v>6282</v>
      </c>
      <c r="C2462" s="5" t="s">
        <v>46</v>
      </c>
      <c r="D2462" s="5" t="s">
        <v>19</v>
      </c>
      <c r="E2462" s="5" t="s">
        <v>178</v>
      </c>
      <c r="F2462" s="9">
        <v>36</v>
      </c>
      <c r="G2462" s="9">
        <v>375</v>
      </c>
      <c r="H2462" s="5" t="s">
        <v>21</v>
      </c>
      <c r="I2462" s="5" t="s">
        <v>6283</v>
      </c>
      <c r="J2462" s="12" t="str">
        <f>HYPERLINK("https://www.boe.es/gazeta/dias/1803/05/06/pdfs/GMD-1803-36.pdf#page=7","Abrir facsímil")</f>
        <v>Abrir facsímil</v>
      </c>
      <c r="K2462" s="15" t="s">
        <v>23</v>
      </c>
    </row>
    <row r="2463" spans="1:11" ht="42" customHeight="1">
      <c r="A2463" s="4" t="s">
        <v>6281</v>
      </c>
      <c r="B2463" s="5" t="s">
        <v>6282</v>
      </c>
      <c r="C2463" s="5" t="s">
        <v>18</v>
      </c>
      <c r="D2463" s="5" t="s">
        <v>19</v>
      </c>
      <c r="E2463" s="5" t="s">
        <v>919</v>
      </c>
      <c r="F2463" s="9">
        <v>69</v>
      </c>
      <c r="G2463" s="9">
        <v>751</v>
      </c>
      <c r="H2463" s="5" t="s">
        <v>21</v>
      </c>
      <c r="I2463" s="5" t="s">
        <v>6284</v>
      </c>
      <c r="J2463" s="12" t="str">
        <f>HYPERLINK("https://www.boe.es/gazeta/dias/1803/08/30/pdfs/GMD-1803-69.pdf#page=7","Abrir facsímil")</f>
        <v>Abrir facsímil</v>
      </c>
      <c r="K2463" s="15" t="s">
        <v>23</v>
      </c>
    </row>
    <row r="2464" spans="1:11" ht="42" customHeight="1">
      <c r="A2464" s="4" t="s">
        <v>6285</v>
      </c>
      <c r="B2464" s="5" t="s">
        <v>6285</v>
      </c>
      <c r="C2464" s="5" t="s">
        <v>51</v>
      </c>
      <c r="D2464" s="5" t="s">
        <v>52</v>
      </c>
      <c r="E2464" s="5" t="s">
        <v>303</v>
      </c>
      <c r="F2464" s="9">
        <v>8</v>
      </c>
      <c r="G2464" s="9">
        <v>79</v>
      </c>
      <c r="H2464" s="5" t="s">
        <v>21</v>
      </c>
      <c r="I2464" s="5" t="s">
        <v>6286</v>
      </c>
      <c r="J2464" s="12" t="str">
        <f>HYPERLINK("https://www.boe.es/gazeta/dias/1803/01/28/pdfs/GMD-1803-8.pdf#page=7","Abrir facsímil")</f>
        <v>Abrir facsímil</v>
      </c>
      <c r="K2464" s="15" t="s">
        <v>23</v>
      </c>
    </row>
    <row r="2465" spans="1:11" ht="42" customHeight="1">
      <c r="A2465" s="4" t="s">
        <v>6287</v>
      </c>
      <c r="B2465" s="5" t="s">
        <v>6287</v>
      </c>
      <c r="C2465" s="5" t="s">
        <v>26</v>
      </c>
      <c r="D2465" s="5" t="s">
        <v>27</v>
      </c>
      <c r="E2465" s="5" t="s">
        <v>102</v>
      </c>
      <c r="F2465" s="9">
        <v>31</v>
      </c>
      <c r="G2465" s="9">
        <v>326</v>
      </c>
      <c r="H2465" s="5" t="s">
        <v>21</v>
      </c>
      <c r="I2465" s="5" t="s">
        <v>6288</v>
      </c>
      <c r="J2465" s="12" t="str">
        <f>HYPERLINK("https://www.boe.es/gazeta/dias/1803/04/19/pdfs/GMD-1803-31.pdf#page=6","Abrir facsímil")</f>
        <v>Abrir facsímil</v>
      </c>
      <c r="K2465" s="15" t="s">
        <v>23</v>
      </c>
    </row>
    <row r="2466" spans="1:11" ht="42" customHeight="1">
      <c r="A2466" s="4" t="s">
        <v>6289</v>
      </c>
      <c r="B2466" s="5" t="s">
        <v>6289</v>
      </c>
      <c r="C2466" s="5" t="s">
        <v>51</v>
      </c>
      <c r="D2466" s="5" t="s">
        <v>52</v>
      </c>
      <c r="E2466" s="5" t="s">
        <v>480</v>
      </c>
      <c r="F2466" s="9">
        <v>87</v>
      </c>
      <c r="G2466" s="9">
        <v>940</v>
      </c>
      <c r="H2466" s="5" t="s">
        <v>21</v>
      </c>
      <c r="I2466" s="5" t="s">
        <v>6290</v>
      </c>
      <c r="J2466" s="12" t="str">
        <f>HYPERLINK("https://www.boe.es/gazeta/dias/1803/10/28/pdfs/GMD-1803-87.pdf#page=8","Abrir facsímil")</f>
        <v>Abrir facsímil</v>
      </c>
      <c r="K2466" s="15" t="s">
        <v>23</v>
      </c>
    </row>
    <row r="2467" spans="1:11" ht="42" customHeight="1">
      <c r="A2467" s="4" t="s">
        <v>6291</v>
      </c>
      <c r="B2467" s="5" t="s">
        <v>6292</v>
      </c>
      <c r="C2467" s="5" t="s">
        <v>26</v>
      </c>
      <c r="D2467" s="5" t="s">
        <v>27</v>
      </c>
      <c r="E2467" s="5" t="s">
        <v>231</v>
      </c>
      <c r="F2467" s="9">
        <v>26</v>
      </c>
      <c r="G2467" s="9">
        <v>281</v>
      </c>
      <c r="H2467" s="5" t="s">
        <v>21</v>
      </c>
      <c r="I2467" s="5" t="s">
        <v>6293</v>
      </c>
      <c r="J2467" s="12" t="str">
        <f>HYPERLINK("https://www.boe.es/gazeta/dias/1803/04/01/pdfs/GMD-1803-26.pdf#page=9","Abrir facsímil")</f>
        <v>Abrir facsímil</v>
      </c>
      <c r="K2467" s="15" t="s">
        <v>23</v>
      </c>
    </row>
    <row r="2468" spans="1:11" ht="42" customHeight="1">
      <c r="A2468" s="4" t="s">
        <v>6291</v>
      </c>
      <c r="B2468" s="5" t="s">
        <v>6292</v>
      </c>
      <c r="C2468" s="5" t="s">
        <v>51</v>
      </c>
      <c r="D2468" s="5" t="s">
        <v>52</v>
      </c>
      <c r="E2468" s="5" t="s">
        <v>361</v>
      </c>
      <c r="F2468" s="9">
        <v>62</v>
      </c>
      <c r="G2468" s="9">
        <v>679</v>
      </c>
      <c r="H2468" s="5" t="s">
        <v>21</v>
      </c>
      <c r="I2468" s="5" t="s">
        <v>6294</v>
      </c>
      <c r="J2468" s="12" t="str">
        <f>HYPERLINK("https://www.boe.es/gazeta/dias/1803/08/05/pdfs/GMD-1803-62.pdf#page=11","Abrir facsímil")</f>
        <v>Abrir facsímil</v>
      </c>
      <c r="K2468" s="15" t="s">
        <v>23</v>
      </c>
    </row>
    <row r="2469" spans="1:11" ht="42" customHeight="1">
      <c r="A2469" s="4" t="s">
        <v>6291</v>
      </c>
      <c r="B2469" s="5" t="s">
        <v>6292</v>
      </c>
      <c r="C2469" s="5" t="s">
        <v>51</v>
      </c>
      <c r="D2469" s="5" t="s">
        <v>52</v>
      </c>
      <c r="E2469" s="5" t="s">
        <v>211</v>
      </c>
      <c r="F2469" s="9">
        <v>71</v>
      </c>
      <c r="G2469" s="9">
        <v>780</v>
      </c>
      <c r="H2469" s="5" t="s">
        <v>21</v>
      </c>
      <c r="I2469" s="5" t="s">
        <v>6295</v>
      </c>
      <c r="J2469" s="12" t="str">
        <f>HYPERLINK("https://www.boe.es/gazeta/dias/1803/09/06/pdfs/GMD-1803-71.pdf#page=12","Abrir facsímil")</f>
        <v>Abrir facsímil</v>
      </c>
      <c r="K2469" s="15" t="s">
        <v>23</v>
      </c>
    </row>
    <row r="2470" spans="1:11" ht="42" customHeight="1">
      <c r="A2470" s="4" t="s">
        <v>6291</v>
      </c>
      <c r="B2470" s="5" t="s">
        <v>6292</v>
      </c>
      <c r="C2470" s="5" t="s">
        <v>80</v>
      </c>
      <c r="D2470" s="5" t="s">
        <v>81</v>
      </c>
      <c r="E2470" s="5" t="s">
        <v>399</v>
      </c>
      <c r="F2470" s="9">
        <v>95</v>
      </c>
      <c r="G2470" s="9">
        <v>1020</v>
      </c>
      <c r="H2470" s="5" t="s">
        <v>21</v>
      </c>
      <c r="I2470" s="5" t="s">
        <v>6296</v>
      </c>
      <c r="J2470" s="12" t="str">
        <f>HYPERLINK("https://www.boe.es/gazeta/dias/1803/11/25/pdfs/GMD-1803-95.pdf#page=8","Abrir facsímil")</f>
        <v>Abrir facsímil</v>
      </c>
      <c r="K2470" s="15" t="s">
        <v>23</v>
      </c>
    </row>
    <row r="2471" spans="1:11" ht="42" customHeight="1">
      <c r="A2471" s="4" t="s">
        <v>6297</v>
      </c>
      <c r="B2471" s="5" t="s">
        <v>6298</v>
      </c>
      <c r="C2471" s="5" t="s">
        <v>26</v>
      </c>
      <c r="D2471" s="5" t="s">
        <v>27</v>
      </c>
      <c r="E2471" s="5" t="s">
        <v>493</v>
      </c>
      <c r="F2471" s="9">
        <v>104</v>
      </c>
      <c r="G2471" s="9">
        <v>1113</v>
      </c>
      <c r="H2471" s="5" t="s">
        <v>21</v>
      </c>
      <c r="I2471" s="5" t="s">
        <v>6299</v>
      </c>
      <c r="J2471" s="12" t="str">
        <f>HYPERLINK("https://www.boe.es/gazeta/dias/1803/12/27/pdfs/GMD-1803-104.pdf#page=5","Abrir facsímil")</f>
        <v>Abrir facsímil</v>
      </c>
      <c r="K2471" s="15" t="s">
        <v>23</v>
      </c>
    </row>
    <row r="2472" spans="1:11" ht="42" customHeight="1">
      <c r="A2472" s="4" t="s">
        <v>6300</v>
      </c>
      <c r="B2472" s="5" t="s">
        <v>6301</v>
      </c>
      <c r="C2472" s="5" t="s">
        <v>26</v>
      </c>
      <c r="D2472" s="5" t="s">
        <v>27</v>
      </c>
      <c r="E2472" s="5" t="s">
        <v>191</v>
      </c>
      <c r="F2472" s="9">
        <v>34</v>
      </c>
      <c r="G2472" s="9">
        <v>357</v>
      </c>
      <c r="H2472" s="5" t="s">
        <v>21</v>
      </c>
      <c r="I2472" s="5" t="s">
        <v>6302</v>
      </c>
      <c r="J2472" s="12" t="str">
        <f>HYPERLINK("https://www.boe.es/gazeta/dias/1803/04/29/pdfs/GMD-1803-34.pdf#page=5","Abrir facsímil")</f>
        <v>Abrir facsímil</v>
      </c>
      <c r="K2472" s="15" t="s">
        <v>23</v>
      </c>
    </row>
    <row r="2473" spans="1:11" ht="42" customHeight="1">
      <c r="A2473" s="4" t="s">
        <v>6303</v>
      </c>
      <c r="B2473" s="5" t="s">
        <v>6304</v>
      </c>
      <c r="C2473" s="5" t="s">
        <v>40</v>
      </c>
      <c r="D2473" s="5" t="s">
        <v>41</v>
      </c>
      <c r="E2473" s="5" t="s">
        <v>493</v>
      </c>
      <c r="F2473" s="9">
        <v>104</v>
      </c>
      <c r="G2473" s="9">
        <v>1113</v>
      </c>
      <c r="H2473" s="5" t="s">
        <v>21</v>
      </c>
      <c r="I2473" s="5" t="s">
        <v>6305</v>
      </c>
      <c r="J2473" s="12" t="str">
        <f>HYPERLINK("https://www.boe.es/gazeta/dias/1803/12/27/pdfs/GMD-1803-104.pdf#page=5","Abrir facsímil")</f>
        <v>Abrir facsímil</v>
      </c>
      <c r="K2473" s="15" t="s">
        <v>23</v>
      </c>
    </row>
    <row r="2474" spans="1:11" ht="42" customHeight="1">
      <c r="A2474" s="4" t="s">
        <v>6306</v>
      </c>
      <c r="B2474" s="5" t="s">
        <v>6306</v>
      </c>
      <c r="C2474" s="5" t="s">
        <v>40</v>
      </c>
      <c r="D2474" s="5" t="s">
        <v>41</v>
      </c>
      <c r="E2474" s="5" t="s">
        <v>189</v>
      </c>
      <c r="F2474" s="9">
        <v>9</v>
      </c>
      <c r="G2474" s="9">
        <v>89</v>
      </c>
      <c r="H2474" s="5" t="s">
        <v>21</v>
      </c>
      <c r="I2474" s="5" t="s">
        <v>6307</v>
      </c>
      <c r="J2474" s="12" t="str">
        <f>HYPERLINK("https://www.boe.es/gazeta/dias/1803/02/01/pdfs/GMD-1803-9.pdf#page=5","Abrir facsímil")</f>
        <v>Abrir facsímil</v>
      </c>
      <c r="K2474" s="15" t="s">
        <v>23</v>
      </c>
    </row>
    <row r="2475" spans="1:11" ht="42" customHeight="1">
      <c r="A2475" s="4" t="s">
        <v>6308</v>
      </c>
      <c r="B2475" s="5" t="s">
        <v>6309</v>
      </c>
      <c r="C2475" s="5" t="s">
        <v>26</v>
      </c>
      <c r="D2475" s="5" t="s">
        <v>27</v>
      </c>
      <c r="E2475" s="5" t="s">
        <v>373</v>
      </c>
      <c r="F2475" s="9">
        <v>77</v>
      </c>
      <c r="G2475" s="9">
        <v>831</v>
      </c>
      <c r="H2475" s="5" t="s">
        <v>21</v>
      </c>
      <c r="I2475" s="5" t="s">
        <v>6310</v>
      </c>
      <c r="J2475" s="12" t="str">
        <f>HYPERLINK("https://www.boe.es/gazeta/dias/1803/09/23/pdfs/GMD-1803-77.pdf#page=7","Abrir facsímil")</f>
        <v>Abrir facsímil</v>
      </c>
      <c r="K2475" s="15" t="s">
        <v>23</v>
      </c>
    </row>
    <row r="2476" spans="1:11" ht="42" customHeight="1">
      <c r="A2476" s="4" t="s">
        <v>6311</v>
      </c>
      <c r="B2476" s="5" t="s">
        <v>6312</v>
      </c>
      <c r="C2476" s="5" t="s">
        <v>51</v>
      </c>
      <c r="D2476" s="5" t="s">
        <v>52</v>
      </c>
      <c r="E2476" s="5" t="s">
        <v>278</v>
      </c>
      <c r="F2476" s="9">
        <v>46</v>
      </c>
      <c r="G2476" s="9">
        <v>485</v>
      </c>
      <c r="H2476" s="5" t="s">
        <v>21</v>
      </c>
      <c r="I2476" s="5" t="s">
        <v>6313</v>
      </c>
      <c r="J2476" s="12" t="str">
        <f>HYPERLINK("https://www.boe.es/gazeta/dias/1803/06/10/pdfs/GMD-1803-46.pdf#page=9","Abrir facsímil")</f>
        <v>Abrir facsímil</v>
      </c>
      <c r="K2476" s="15" t="s">
        <v>23</v>
      </c>
    </row>
    <row r="2477" spans="1:11" ht="42" customHeight="1">
      <c r="A2477" s="4" t="s">
        <v>6314</v>
      </c>
      <c r="B2477" s="5" t="s">
        <v>6315</v>
      </c>
      <c r="C2477" s="5" t="s">
        <v>51</v>
      </c>
      <c r="D2477" s="5" t="s">
        <v>52</v>
      </c>
      <c r="E2477" s="5" t="s">
        <v>71</v>
      </c>
      <c r="F2477" s="9">
        <v>39</v>
      </c>
      <c r="G2477" s="9">
        <v>414</v>
      </c>
      <c r="H2477" s="5" t="s">
        <v>21</v>
      </c>
      <c r="I2477" s="5" t="s">
        <v>6316</v>
      </c>
      <c r="J2477" s="12" t="str">
        <f>HYPERLINK("https://www.boe.es/gazeta/dias/1803/05/17/pdfs/GMD-1803-39.pdf#page=10","Abrir facsímil")</f>
        <v>Abrir facsímil</v>
      </c>
      <c r="K2477" s="15" t="s">
        <v>23</v>
      </c>
    </row>
    <row r="2478" spans="1:11" ht="42" customHeight="1">
      <c r="A2478" s="4" t="s">
        <v>6317</v>
      </c>
      <c r="B2478" s="5" t="s">
        <v>6318</v>
      </c>
      <c r="C2478" s="5" t="s">
        <v>46</v>
      </c>
      <c r="D2478" s="5" t="s">
        <v>19</v>
      </c>
      <c r="E2478" s="5" t="s">
        <v>336</v>
      </c>
      <c r="F2478" s="9">
        <v>105</v>
      </c>
      <c r="G2478" s="9">
        <v>1121</v>
      </c>
      <c r="H2478" s="5" t="s">
        <v>21</v>
      </c>
      <c r="I2478" s="5" t="s">
        <v>6319</v>
      </c>
      <c r="J2478" s="12" t="str">
        <f>HYPERLINK("https://www.boe.es/gazeta/dias/1803/12/30/pdfs/GMD-1803-105.pdf#page=5","Abrir facsímil")</f>
        <v>Abrir facsímil</v>
      </c>
      <c r="K2478" s="15" t="s">
        <v>23</v>
      </c>
    </row>
    <row r="2479" spans="1:11" ht="42" customHeight="1">
      <c r="A2479" s="4" t="s">
        <v>6320</v>
      </c>
      <c r="B2479" s="5" t="s">
        <v>6320</v>
      </c>
      <c r="C2479" s="5" t="s">
        <v>51</v>
      </c>
      <c r="D2479" s="5" t="s">
        <v>52</v>
      </c>
      <c r="E2479" s="5" t="s">
        <v>300</v>
      </c>
      <c r="F2479" s="9">
        <v>96</v>
      </c>
      <c r="G2479" s="9">
        <v>1028</v>
      </c>
      <c r="H2479" s="5" t="s">
        <v>21</v>
      </c>
      <c r="I2479" s="5" t="s">
        <v>6321</v>
      </c>
      <c r="J2479" s="12" t="str">
        <f>HYPERLINK("https://www.boe.es/gazeta/dias/1803/11/29/pdfs/GMD-1803-96.pdf#page=4","Abrir facsímil")</f>
        <v>Abrir facsímil</v>
      </c>
      <c r="K2479" s="15" t="s">
        <v>23</v>
      </c>
    </row>
    <row r="2480" spans="1:11" ht="42" customHeight="1">
      <c r="A2480" s="4" t="s">
        <v>6322</v>
      </c>
      <c r="B2480" s="5" t="s">
        <v>6322</v>
      </c>
      <c r="C2480" s="5" t="s">
        <v>26</v>
      </c>
      <c r="D2480" s="5" t="s">
        <v>27</v>
      </c>
      <c r="E2480" s="5" t="s">
        <v>71</v>
      </c>
      <c r="F2480" s="9">
        <v>39</v>
      </c>
      <c r="G2480" s="9">
        <v>412</v>
      </c>
      <c r="H2480" s="5" t="s">
        <v>21</v>
      </c>
      <c r="I2480" s="5" t="s">
        <v>6323</v>
      </c>
      <c r="J2480" s="12" t="str">
        <f>HYPERLINK("https://www.boe.es/gazeta/dias/1803/05/17/pdfs/GMD-1803-39.pdf#page=8","Abrir facsímil")</f>
        <v>Abrir facsímil</v>
      </c>
      <c r="K2480" s="15" t="s">
        <v>23</v>
      </c>
    </row>
    <row r="2481" spans="1:11" ht="42" customHeight="1">
      <c r="A2481" s="4" t="s">
        <v>6324</v>
      </c>
      <c r="B2481" s="5" t="s">
        <v>6324</v>
      </c>
      <c r="C2481" s="5" t="s">
        <v>26</v>
      </c>
      <c r="D2481" s="5" t="s">
        <v>27</v>
      </c>
      <c r="E2481" s="5" t="s">
        <v>132</v>
      </c>
      <c r="F2481" s="9">
        <v>58</v>
      </c>
      <c r="G2481" s="9">
        <v>639</v>
      </c>
      <c r="H2481" s="5" t="s">
        <v>21</v>
      </c>
      <c r="I2481" s="5" t="s">
        <v>6325</v>
      </c>
      <c r="J2481" s="12" t="str">
        <f>HYPERLINK("https://www.boe.es/gazeta/dias/1803/07/22/pdfs/GMD-1803-58.pdf#page=11","Abrir facsímil")</f>
        <v>Abrir facsímil</v>
      </c>
      <c r="K2481" s="15" t="s">
        <v>23</v>
      </c>
    </row>
    <row r="2482" spans="1:11" ht="42" customHeight="1">
      <c r="A2482" s="4" t="s">
        <v>6326</v>
      </c>
      <c r="B2482" s="5" t="s">
        <v>6326</v>
      </c>
      <c r="C2482" s="5" t="s">
        <v>46</v>
      </c>
      <c r="D2482" s="5" t="s">
        <v>19</v>
      </c>
      <c r="E2482" s="5" t="s">
        <v>285</v>
      </c>
      <c r="F2482" s="9">
        <v>5</v>
      </c>
      <c r="G2482" s="9">
        <v>47</v>
      </c>
      <c r="H2482" s="5" t="s">
        <v>21</v>
      </c>
      <c r="I2482" s="5" t="s">
        <v>6327</v>
      </c>
      <c r="J2482" s="12" t="str">
        <f>HYPERLINK("https://www.boe.es/gazeta/dias/1803/01/18/pdfs/GMD-1803-5.pdf#page=11","Abrir facsímil")</f>
        <v>Abrir facsímil</v>
      </c>
      <c r="K2482" s="15" t="s">
        <v>23</v>
      </c>
    </row>
    <row r="2483" spans="1:11" ht="42" customHeight="1">
      <c r="A2483" s="4" t="s">
        <v>6326</v>
      </c>
      <c r="B2483" s="5" t="s">
        <v>6326</v>
      </c>
      <c r="C2483" s="5" t="s">
        <v>46</v>
      </c>
      <c r="D2483" s="5" t="s">
        <v>19</v>
      </c>
      <c r="E2483" s="5" t="s">
        <v>178</v>
      </c>
      <c r="F2483" s="9">
        <v>36</v>
      </c>
      <c r="G2483" s="9">
        <v>376</v>
      </c>
      <c r="H2483" s="5" t="s">
        <v>21</v>
      </c>
      <c r="I2483" s="5" t="s">
        <v>6328</v>
      </c>
      <c r="J2483" s="12" t="str">
        <f>HYPERLINK("https://www.boe.es/gazeta/dias/1803/05/06/pdfs/GMD-1803-36.pdf#page=8","Abrir facsímil")</f>
        <v>Abrir facsímil</v>
      </c>
      <c r="K2483" s="15" t="s">
        <v>23</v>
      </c>
    </row>
    <row r="2484" spans="1:11" ht="42" customHeight="1">
      <c r="A2484" s="4" t="s">
        <v>6326</v>
      </c>
      <c r="B2484" s="5" t="s">
        <v>6326</v>
      </c>
      <c r="C2484" s="5" t="s">
        <v>46</v>
      </c>
      <c r="D2484" s="5" t="s">
        <v>19</v>
      </c>
      <c r="E2484" s="5" t="s">
        <v>417</v>
      </c>
      <c r="F2484" s="9">
        <v>72</v>
      </c>
      <c r="G2484" s="9">
        <v>788</v>
      </c>
      <c r="H2484" s="5" t="s">
        <v>21</v>
      </c>
      <c r="I2484" s="5" t="s">
        <v>6329</v>
      </c>
      <c r="J2484" s="12" t="str">
        <f>HYPERLINK("https://www.boe.es/gazeta/dias/1803/09/09/pdfs/GMD-1803-72.pdf#page=8","Abrir facsímil")</f>
        <v>Abrir facsímil</v>
      </c>
      <c r="K2484" s="15" t="s">
        <v>23</v>
      </c>
    </row>
    <row r="2485" spans="1:11" ht="42" customHeight="1">
      <c r="A2485" s="4" t="s">
        <v>6330</v>
      </c>
      <c r="B2485" s="5" t="s">
        <v>6330</v>
      </c>
      <c r="C2485" s="5" t="s">
        <v>26</v>
      </c>
      <c r="D2485" s="5" t="s">
        <v>27</v>
      </c>
      <c r="E2485" s="5" t="s">
        <v>218</v>
      </c>
      <c r="F2485" s="9">
        <v>19</v>
      </c>
      <c r="G2485" s="9">
        <v>201</v>
      </c>
      <c r="H2485" s="5" t="s">
        <v>21</v>
      </c>
      <c r="I2485" s="5" t="s">
        <v>6331</v>
      </c>
      <c r="J2485" s="12" t="str">
        <f>HYPERLINK("https://www.boe.es/gazeta/dias/1803/03/08/pdfs/GMD-1803-19.pdf#page=9","Abrir facsímil")</f>
        <v>Abrir facsímil</v>
      </c>
      <c r="K2485" s="15" t="s">
        <v>23</v>
      </c>
    </row>
    <row r="2486" spans="1:11" ht="42" customHeight="1">
      <c r="A2486" s="4" t="s">
        <v>6332</v>
      </c>
      <c r="B2486" s="5" t="s">
        <v>6333</v>
      </c>
      <c r="C2486" s="5" t="s">
        <v>40</v>
      </c>
      <c r="D2486" s="5" t="s">
        <v>41</v>
      </c>
      <c r="E2486" s="5" t="s">
        <v>1846</v>
      </c>
      <c r="F2486" s="9">
        <v>89</v>
      </c>
      <c r="G2486" s="9">
        <v>956</v>
      </c>
      <c r="H2486" s="5" t="s">
        <v>21</v>
      </c>
      <c r="I2486" s="5" t="s">
        <v>6334</v>
      </c>
      <c r="J2486" s="12" t="str">
        <f>HYPERLINK("https://www.boe.es/gazeta/dias/1803/11/04/pdfs/GMD-1803-89.pdf#page=4","Abrir facsímil")</f>
        <v>Abrir facsímil</v>
      </c>
      <c r="K2486" s="15" t="s">
        <v>23</v>
      </c>
    </row>
    <row r="2487" spans="1:11" ht="42" customHeight="1">
      <c r="A2487" s="4" t="s">
        <v>6335</v>
      </c>
      <c r="B2487" s="5" t="s">
        <v>6335</v>
      </c>
      <c r="C2487" s="5" t="s">
        <v>40</v>
      </c>
      <c r="D2487" s="5" t="s">
        <v>41</v>
      </c>
      <c r="E2487" s="5" t="s">
        <v>113</v>
      </c>
      <c r="F2487" s="9">
        <v>93</v>
      </c>
      <c r="G2487" s="9">
        <v>994</v>
      </c>
      <c r="H2487" s="5" t="s">
        <v>21</v>
      </c>
      <c r="I2487" s="5" t="s">
        <v>6336</v>
      </c>
      <c r="J2487" s="12" t="str">
        <f>HYPERLINK("https://www.boe.es/gazeta/dias/1803/11/18/pdfs/GMD-1803-93.pdf#page=6","Abrir facsímil")</f>
        <v>Abrir facsímil</v>
      </c>
      <c r="K2487" s="15" t="s">
        <v>23</v>
      </c>
    </row>
    <row r="2488" spans="1:11" ht="42" customHeight="1">
      <c r="A2488" s="4" t="s">
        <v>6337</v>
      </c>
      <c r="B2488" s="5" t="s">
        <v>6337</v>
      </c>
      <c r="C2488" s="5" t="s">
        <v>80</v>
      </c>
      <c r="D2488" s="5" t="s">
        <v>81</v>
      </c>
      <c r="E2488" s="5" t="s">
        <v>588</v>
      </c>
      <c r="F2488" s="9">
        <v>63</v>
      </c>
      <c r="G2488" s="9">
        <v>688</v>
      </c>
      <c r="H2488" s="5" t="s">
        <v>21</v>
      </c>
      <c r="I2488" s="5" t="s">
        <v>6338</v>
      </c>
      <c r="J2488" s="12" t="str">
        <f>HYPERLINK("https://www.boe.es/gazeta/dias/1803/08/09/pdfs/GMD-1803-63.pdf#page=8","Abrir facsímil")</f>
        <v>Abrir facsímil</v>
      </c>
      <c r="K2488" s="15" t="s">
        <v>23</v>
      </c>
    </row>
    <row r="2489" spans="1:11" ht="42" customHeight="1">
      <c r="A2489" s="4" t="s">
        <v>6339</v>
      </c>
      <c r="B2489" s="5" t="s">
        <v>6339</v>
      </c>
      <c r="C2489" s="5" t="s">
        <v>51</v>
      </c>
      <c r="D2489" s="5" t="s">
        <v>52</v>
      </c>
      <c r="E2489" s="5" t="s">
        <v>148</v>
      </c>
      <c r="F2489" s="9">
        <v>15</v>
      </c>
      <c r="G2489" s="9">
        <v>153</v>
      </c>
      <c r="H2489" s="5" t="s">
        <v>21</v>
      </c>
      <c r="I2489" s="5" t="s">
        <v>6340</v>
      </c>
      <c r="J2489" s="12" t="str">
        <f>HYPERLINK("https://www.boe.es/gazeta/dias/1803/02/22/pdfs/GMD-1803-15.pdf#page=5","Abrir facsímil")</f>
        <v>Abrir facsímil</v>
      </c>
      <c r="K2489" s="15" t="s">
        <v>23</v>
      </c>
    </row>
    <row r="2490" spans="1:11" ht="42" customHeight="1">
      <c r="A2490" s="4" t="s">
        <v>6339</v>
      </c>
      <c r="B2490" s="5" t="s">
        <v>6339</v>
      </c>
      <c r="C2490" s="5" t="s">
        <v>51</v>
      </c>
      <c r="D2490" s="5" t="s">
        <v>52</v>
      </c>
      <c r="E2490" s="5" t="s">
        <v>148</v>
      </c>
      <c r="F2490" s="9">
        <v>15</v>
      </c>
      <c r="G2490" s="9">
        <v>154</v>
      </c>
      <c r="H2490" s="5" t="s">
        <v>21</v>
      </c>
      <c r="I2490" s="5" t="s">
        <v>6341</v>
      </c>
      <c r="J2490" s="12" t="str">
        <f>HYPERLINK("https://www.boe.es/gazeta/dias/1803/02/22/pdfs/GMD-1803-15.pdf#page=6","Abrir facsímil")</f>
        <v>Abrir facsímil</v>
      </c>
      <c r="K2490" s="15" t="s">
        <v>23</v>
      </c>
    </row>
    <row r="2491" spans="1:11" ht="42" customHeight="1">
      <c r="A2491" s="4" t="s">
        <v>6339</v>
      </c>
      <c r="B2491" s="5" t="s">
        <v>6339</v>
      </c>
      <c r="C2491" s="5" t="s">
        <v>51</v>
      </c>
      <c r="D2491" s="5" t="s">
        <v>52</v>
      </c>
      <c r="E2491" s="5" t="s">
        <v>148</v>
      </c>
      <c r="F2491" s="9">
        <v>15</v>
      </c>
      <c r="G2491" s="9">
        <v>155</v>
      </c>
      <c r="H2491" s="5" t="s">
        <v>21</v>
      </c>
      <c r="I2491" s="5" t="s">
        <v>6342</v>
      </c>
      <c r="J2491" s="12" t="str">
        <f>HYPERLINK("https://www.boe.es/gazeta/dias/1803/02/22/pdfs/GMD-1803-15.pdf#page=7","Abrir facsímil")</f>
        <v>Abrir facsímil</v>
      </c>
      <c r="K2491" s="15" t="s">
        <v>23</v>
      </c>
    </row>
    <row r="2492" spans="1:11" ht="42" customHeight="1">
      <c r="A2492" s="4" t="s">
        <v>6343</v>
      </c>
      <c r="B2492" s="5" t="s">
        <v>6343</v>
      </c>
      <c r="C2492" s="5" t="s">
        <v>40</v>
      </c>
      <c r="D2492" s="5" t="s">
        <v>41</v>
      </c>
      <c r="E2492" s="5" t="s">
        <v>152</v>
      </c>
      <c r="F2492" s="9">
        <v>16</v>
      </c>
      <c r="G2492" s="9">
        <v>164</v>
      </c>
      <c r="H2492" s="5" t="s">
        <v>21</v>
      </c>
      <c r="I2492" s="5" t="s">
        <v>6344</v>
      </c>
      <c r="J2492" s="12" t="str">
        <f>HYPERLINK("https://www.boe.es/gazeta/dias/1803/02/25/pdfs/GMD-1803-16.pdf#page=4","Abrir facsímil")</f>
        <v>Abrir facsímil</v>
      </c>
      <c r="K2492" s="15" t="s">
        <v>23</v>
      </c>
    </row>
    <row r="2493" spans="1:11" ht="42" customHeight="1">
      <c r="A2493" s="4" t="s">
        <v>6345</v>
      </c>
      <c r="B2493" s="5" t="s">
        <v>6345</v>
      </c>
      <c r="C2493" s="5" t="s">
        <v>874</v>
      </c>
      <c r="D2493" s="5" t="s">
        <v>875</v>
      </c>
      <c r="E2493" s="5" t="s">
        <v>480</v>
      </c>
      <c r="F2493" s="9">
        <v>87</v>
      </c>
      <c r="G2493" s="9" t="s">
        <v>1213</v>
      </c>
      <c r="H2493" s="5" t="s">
        <v>21</v>
      </c>
      <c r="I2493" s="5" t="s">
        <v>6346</v>
      </c>
      <c r="J2493" s="12" t="str">
        <f>HYPERLINK("https://www.boe.es/gazeta/dias/1803/10/28/pdfs/GMD-C-1803-87.pdf#page=2","Abrir facsímil")</f>
        <v>Abrir facsímil</v>
      </c>
      <c r="K2493" s="15" t="s">
        <v>23</v>
      </c>
    </row>
    <row r="2494" spans="1:11" ht="42" customHeight="1">
      <c r="A2494" s="4" t="s">
        <v>6347</v>
      </c>
      <c r="B2494" s="5" t="s">
        <v>6347</v>
      </c>
      <c r="C2494" s="5" t="s">
        <v>80</v>
      </c>
      <c r="D2494" s="5" t="s">
        <v>81</v>
      </c>
      <c r="E2494" s="5" t="s">
        <v>439</v>
      </c>
      <c r="F2494" s="9">
        <v>76</v>
      </c>
      <c r="G2494" s="9">
        <v>824</v>
      </c>
      <c r="H2494" s="5" t="s">
        <v>21</v>
      </c>
      <c r="I2494" s="5" t="s">
        <v>6348</v>
      </c>
      <c r="J2494" s="12" t="str">
        <f>HYPERLINK("https://www.boe.es/gazeta/dias/1803/09/20/pdfs/GMD-1803-76.pdf#page=12","Abrir facsímil")</f>
        <v>Abrir facsímil</v>
      </c>
      <c r="K2494" s="15" t="s">
        <v>23</v>
      </c>
    </row>
    <row r="2495" spans="1:11" ht="42" customHeight="1">
      <c r="A2495" s="4" t="s">
        <v>6349</v>
      </c>
      <c r="B2495" s="5" t="s">
        <v>6349</v>
      </c>
      <c r="C2495" s="5" t="s">
        <v>26</v>
      </c>
      <c r="D2495" s="5" t="s">
        <v>27</v>
      </c>
      <c r="E2495" s="5" t="s">
        <v>117</v>
      </c>
      <c r="F2495" s="9">
        <v>59</v>
      </c>
      <c r="G2495" s="9">
        <v>647</v>
      </c>
      <c r="H2495" s="5" t="s">
        <v>21</v>
      </c>
      <c r="I2495" s="5" t="s">
        <v>6350</v>
      </c>
      <c r="J2495" s="12" t="str">
        <f>HYPERLINK("https://www.boe.es/gazeta/dias/1803/07/26/pdfs/GMD-1803-59.pdf#page=7","Abrir facsímil")</f>
        <v>Abrir facsímil</v>
      </c>
      <c r="K2495" s="15" t="s">
        <v>23</v>
      </c>
    </row>
    <row r="2496" spans="1:11" ht="42" customHeight="1">
      <c r="A2496" s="4" t="s">
        <v>6351</v>
      </c>
      <c r="B2496" s="5" t="s">
        <v>6351</v>
      </c>
      <c r="C2496" s="5" t="s">
        <v>40</v>
      </c>
      <c r="D2496" s="5" t="s">
        <v>41</v>
      </c>
      <c r="E2496" s="5" t="s">
        <v>164</v>
      </c>
      <c r="F2496" s="9">
        <v>84</v>
      </c>
      <c r="G2496" s="9">
        <v>902</v>
      </c>
      <c r="H2496" s="5" t="s">
        <v>21</v>
      </c>
      <c r="I2496" s="5" t="s">
        <v>6352</v>
      </c>
      <c r="J2496" s="12" t="str">
        <f>HYPERLINK("https://www.boe.es/gazeta/dias/1803/10/18/pdfs/GMD-1803-84.pdf#page=6","Abrir facsímil")</f>
        <v>Abrir facsímil</v>
      </c>
      <c r="K2496" s="15" t="s">
        <v>23</v>
      </c>
    </row>
    <row r="2497" spans="1:11" ht="42" customHeight="1">
      <c r="A2497" s="4" t="s">
        <v>6353</v>
      </c>
      <c r="B2497" s="5" t="s">
        <v>6353</v>
      </c>
      <c r="C2497" s="5" t="s">
        <v>26</v>
      </c>
      <c r="D2497" s="5" t="s">
        <v>27</v>
      </c>
      <c r="E2497" s="5" t="s">
        <v>250</v>
      </c>
      <c r="F2497" s="9">
        <v>4</v>
      </c>
      <c r="G2497" s="9">
        <v>35</v>
      </c>
      <c r="H2497" s="5" t="s">
        <v>21</v>
      </c>
      <c r="I2497" s="5" t="s">
        <v>6354</v>
      </c>
      <c r="J2497" s="12" t="str">
        <f>HYPERLINK("https://www.boe.es/gazeta/dias/1803/01/14/pdfs/GMD-1803-4.pdf#page=7","Abrir facsímil")</f>
        <v>Abrir facsímil</v>
      </c>
      <c r="K2497" s="15" t="s">
        <v>23</v>
      </c>
    </row>
    <row r="2498" spans="1:11" ht="42" customHeight="1">
      <c r="A2498" s="4" t="s">
        <v>6355</v>
      </c>
      <c r="B2498" s="5" t="s">
        <v>6355</v>
      </c>
      <c r="C2498" s="5" t="s">
        <v>26</v>
      </c>
      <c r="D2498" s="5" t="s">
        <v>27</v>
      </c>
      <c r="E2498" s="5" t="s">
        <v>289</v>
      </c>
      <c r="F2498" s="9">
        <v>38</v>
      </c>
      <c r="G2498" s="9">
        <v>400</v>
      </c>
      <c r="H2498" s="5" t="s">
        <v>21</v>
      </c>
      <c r="I2498" s="5" t="s">
        <v>6356</v>
      </c>
      <c r="J2498" s="12" t="str">
        <f>HYPERLINK("https://www.boe.es/gazeta/dias/1803/05/13/pdfs/GMD-1803-38.pdf#page=8","Abrir facsímil")</f>
        <v>Abrir facsímil</v>
      </c>
      <c r="K2498" s="15" t="s">
        <v>23</v>
      </c>
    </row>
    <row r="2499" spans="1:11" ht="42" customHeight="1">
      <c r="A2499" s="4" t="s">
        <v>6357</v>
      </c>
      <c r="B2499" s="5" t="s">
        <v>6357</v>
      </c>
      <c r="C2499" s="5" t="s">
        <v>26</v>
      </c>
      <c r="D2499" s="5" t="s">
        <v>27</v>
      </c>
      <c r="E2499" s="5" t="s">
        <v>102</v>
      </c>
      <c r="F2499" s="9">
        <v>31</v>
      </c>
      <c r="G2499" s="9">
        <v>326</v>
      </c>
      <c r="H2499" s="5" t="s">
        <v>21</v>
      </c>
      <c r="I2499" s="5" t="s">
        <v>6358</v>
      </c>
      <c r="J2499" s="12" t="str">
        <f>HYPERLINK("https://www.boe.es/gazeta/dias/1803/04/19/pdfs/GMD-1803-31.pdf#page=6","Abrir facsímil")</f>
        <v>Abrir facsímil</v>
      </c>
      <c r="K2499" s="15" t="s">
        <v>23</v>
      </c>
    </row>
    <row r="2500" spans="1:11" ht="42" customHeight="1">
      <c r="A2500" s="4" t="s">
        <v>6359</v>
      </c>
      <c r="B2500" s="5" t="s">
        <v>6359</v>
      </c>
      <c r="C2500" s="5" t="s">
        <v>51</v>
      </c>
      <c r="D2500" s="5" t="s">
        <v>52</v>
      </c>
      <c r="E2500" s="5" t="s">
        <v>113</v>
      </c>
      <c r="F2500" s="9">
        <v>93</v>
      </c>
      <c r="G2500" s="9">
        <v>1000</v>
      </c>
      <c r="H2500" s="5" t="s">
        <v>21</v>
      </c>
      <c r="I2500" s="5" t="s">
        <v>6360</v>
      </c>
      <c r="J2500" s="12" t="str">
        <f>HYPERLINK("https://www.boe.es/gazeta/dias/1803/11/18/pdfs/GMD-1803-93.pdf#page=12","Abrir facsímil")</f>
        <v>Abrir facsímil</v>
      </c>
      <c r="K2500" s="15" t="s">
        <v>23</v>
      </c>
    </row>
    <row r="2501" spans="1:11" ht="42" customHeight="1">
      <c r="A2501" s="4" t="s">
        <v>6361</v>
      </c>
      <c r="B2501" s="5" t="s">
        <v>6361</v>
      </c>
      <c r="C2501" s="5" t="s">
        <v>26</v>
      </c>
      <c r="D2501" s="5" t="s">
        <v>27</v>
      </c>
      <c r="E2501" s="5" t="s">
        <v>752</v>
      </c>
      <c r="F2501" s="9">
        <v>30</v>
      </c>
      <c r="G2501" s="9">
        <v>320</v>
      </c>
      <c r="H2501" s="5" t="s">
        <v>21</v>
      </c>
      <c r="I2501" s="5" t="s">
        <v>6362</v>
      </c>
      <c r="J2501" s="12" t="str">
        <f>HYPERLINK("https://www.boe.es/gazeta/dias/1803/04/15/pdfs/GMD-1803-30.pdf#page=8","Abrir facsímil")</f>
        <v>Abrir facsímil</v>
      </c>
      <c r="K2501" s="15" t="s">
        <v>23</v>
      </c>
    </row>
    <row r="2502" spans="1:11" ht="42" customHeight="1">
      <c r="A2502" s="4" t="s">
        <v>6363</v>
      </c>
      <c r="B2502" s="5" t="s">
        <v>6364</v>
      </c>
      <c r="C2502" s="5" t="s">
        <v>26</v>
      </c>
      <c r="D2502" s="5" t="s">
        <v>27</v>
      </c>
      <c r="E2502" s="5" t="s">
        <v>174</v>
      </c>
      <c r="F2502" s="9">
        <v>21</v>
      </c>
      <c r="G2502" s="9">
        <v>223</v>
      </c>
      <c r="H2502" s="5" t="s">
        <v>21</v>
      </c>
      <c r="I2502" s="5" t="s">
        <v>6365</v>
      </c>
      <c r="J2502" s="12" t="str">
        <f>HYPERLINK("https://www.boe.es/gazeta/dias/1803/03/15/pdfs/GMD-1803-21.pdf#page=7","Abrir facsímil")</f>
        <v>Abrir facsímil</v>
      </c>
      <c r="K2502" s="15" t="s">
        <v>23</v>
      </c>
    </row>
    <row r="2503" spans="1:11" ht="42" customHeight="1">
      <c r="A2503" s="4" t="s">
        <v>6366</v>
      </c>
      <c r="B2503" s="5" t="s">
        <v>6366</v>
      </c>
      <c r="C2503" s="5" t="s">
        <v>26</v>
      </c>
      <c r="D2503" s="5" t="s">
        <v>27</v>
      </c>
      <c r="E2503" s="5" t="s">
        <v>439</v>
      </c>
      <c r="F2503" s="9">
        <v>76</v>
      </c>
      <c r="G2503" s="9">
        <v>823</v>
      </c>
      <c r="H2503" s="5" t="s">
        <v>21</v>
      </c>
      <c r="I2503" s="5" t="s">
        <v>6367</v>
      </c>
      <c r="J2503" s="12" t="str">
        <f>HYPERLINK("https://www.boe.es/gazeta/dias/1803/09/20/pdfs/GMD-1803-76.pdf#page=11","Abrir facsímil")</f>
        <v>Abrir facsímil</v>
      </c>
      <c r="K2503" s="15" t="s">
        <v>23</v>
      </c>
    </row>
    <row r="2504" spans="1:11" ht="42" customHeight="1">
      <c r="A2504" s="4" t="s">
        <v>6368</v>
      </c>
      <c r="B2504" s="5" t="s">
        <v>6369</v>
      </c>
      <c r="C2504" s="5" t="s">
        <v>26</v>
      </c>
      <c r="D2504" s="5" t="s">
        <v>27</v>
      </c>
      <c r="E2504" s="5" t="s">
        <v>75</v>
      </c>
      <c r="F2504" s="9">
        <v>56</v>
      </c>
      <c r="G2504" s="9">
        <v>611</v>
      </c>
      <c r="H2504" s="5" t="s">
        <v>21</v>
      </c>
      <c r="I2504" s="5" t="s">
        <v>6370</v>
      </c>
      <c r="J2504" s="12" t="str">
        <f>HYPERLINK("https://www.boe.es/gazeta/dias/1803/07/15/pdfs/GMD-1803-56.pdf#page=7","Abrir facsímil")</f>
        <v>Abrir facsímil</v>
      </c>
      <c r="K2504" s="15" t="s">
        <v>23</v>
      </c>
    </row>
    <row r="2505" spans="1:11" ht="42" customHeight="1">
      <c r="A2505" s="4" t="s">
        <v>6371</v>
      </c>
      <c r="B2505" s="5" t="s">
        <v>6371</v>
      </c>
      <c r="C2505" s="5" t="s">
        <v>26</v>
      </c>
      <c r="D2505" s="5" t="s">
        <v>27</v>
      </c>
      <c r="E2505" s="5" t="s">
        <v>313</v>
      </c>
      <c r="F2505" s="9">
        <v>14</v>
      </c>
      <c r="G2505" s="9">
        <v>143</v>
      </c>
      <c r="H2505" s="5" t="s">
        <v>21</v>
      </c>
      <c r="I2505" s="5" t="s">
        <v>6372</v>
      </c>
      <c r="J2505" s="12" t="str">
        <f>HYPERLINK("https://www.boe.es/gazeta/dias/1803/02/18/pdfs/GMD-1803-14.pdf#page=7","Abrir facsímil")</f>
        <v>Abrir facsímil</v>
      </c>
      <c r="K2505" s="15" t="s">
        <v>23</v>
      </c>
    </row>
    <row r="2506" spans="1:11" ht="42" customHeight="1">
      <c r="A2506" s="4" t="s">
        <v>6373</v>
      </c>
      <c r="B2506" s="5" t="s">
        <v>6373</v>
      </c>
      <c r="C2506" s="5" t="s">
        <v>26</v>
      </c>
      <c r="D2506" s="5" t="s">
        <v>27</v>
      </c>
      <c r="E2506" s="5" t="s">
        <v>395</v>
      </c>
      <c r="F2506" s="9">
        <v>13</v>
      </c>
      <c r="G2506" s="9">
        <v>136</v>
      </c>
      <c r="H2506" s="5" t="s">
        <v>21</v>
      </c>
      <c r="I2506" s="5" t="s">
        <v>6374</v>
      </c>
      <c r="J2506" s="12" t="str">
        <f>HYPERLINK("https://www.boe.es/gazeta/dias/1803/02/15/pdfs/GMD-1803-13.pdf#page=12","Abrir facsímil")</f>
        <v>Abrir facsímil</v>
      </c>
      <c r="K2506" s="15" t="s">
        <v>23</v>
      </c>
    </row>
    <row r="2507" spans="1:11" ht="42" customHeight="1">
      <c r="A2507" s="4" t="s">
        <v>6373</v>
      </c>
      <c r="B2507" s="5" t="s">
        <v>6373</v>
      </c>
      <c r="C2507" s="5" t="s">
        <v>26</v>
      </c>
      <c r="D2507" s="5" t="s">
        <v>27</v>
      </c>
      <c r="E2507" s="5" t="s">
        <v>113</v>
      </c>
      <c r="F2507" s="9">
        <v>93</v>
      </c>
      <c r="G2507" s="9">
        <v>999</v>
      </c>
      <c r="H2507" s="5" t="s">
        <v>21</v>
      </c>
      <c r="I2507" s="5" t="s">
        <v>6375</v>
      </c>
      <c r="J2507" s="12" t="str">
        <f>HYPERLINK("https://www.boe.es/gazeta/dias/1803/11/18/pdfs/GMD-1803-93.pdf#page=11","Abrir facsímil")</f>
        <v>Abrir facsímil</v>
      </c>
      <c r="K2507" s="15" t="s">
        <v>23</v>
      </c>
    </row>
    <row r="2508" spans="1:11" ht="42" customHeight="1">
      <c r="A2508" s="4" t="s">
        <v>6376</v>
      </c>
      <c r="B2508" s="5" t="s">
        <v>6376</v>
      </c>
      <c r="C2508" s="5" t="s">
        <v>80</v>
      </c>
      <c r="D2508" s="5" t="s">
        <v>81</v>
      </c>
      <c r="E2508" s="5" t="s">
        <v>1846</v>
      </c>
      <c r="F2508" s="9">
        <v>89</v>
      </c>
      <c r="G2508" s="9">
        <v>958</v>
      </c>
      <c r="H2508" s="5" t="s">
        <v>21</v>
      </c>
      <c r="I2508" s="5" t="s">
        <v>6377</v>
      </c>
      <c r="J2508" s="12" t="str">
        <f>HYPERLINK("https://www.boe.es/gazeta/dias/1803/11/04/pdfs/GMD-1803-89.pdf#page=6","Abrir facsímil")</f>
        <v>Abrir facsímil</v>
      </c>
      <c r="K2508" s="15" t="s">
        <v>23</v>
      </c>
    </row>
    <row r="2509" spans="1:11" ht="42" customHeight="1">
      <c r="A2509" s="4" t="s">
        <v>6378</v>
      </c>
      <c r="B2509" s="5" t="s">
        <v>6378</v>
      </c>
      <c r="C2509" s="5" t="s">
        <v>46</v>
      </c>
      <c r="D2509" s="5" t="s">
        <v>19</v>
      </c>
      <c r="E2509" s="5" t="s">
        <v>231</v>
      </c>
      <c r="F2509" s="9">
        <v>26</v>
      </c>
      <c r="G2509" s="9">
        <v>276</v>
      </c>
      <c r="H2509" s="5" t="s">
        <v>21</v>
      </c>
      <c r="I2509" s="5" t="s">
        <v>6379</v>
      </c>
      <c r="J2509" s="12" t="str">
        <f>HYPERLINK("https://www.boe.es/gazeta/dias/1803/04/01/pdfs/GMD-1803-26.pdf#page=4","Abrir facsímil")</f>
        <v>Abrir facsímil</v>
      </c>
      <c r="K2509" s="15" t="s">
        <v>23</v>
      </c>
    </row>
    <row r="2510" spans="1:11" ht="42" customHeight="1">
      <c r="A2510" s="4" t="s">
        <v>6378</v>
      </c>
      <c r="B2510" s="5" t="s">
        <v>6378</v>
      </c>
      <c r="C2510" s="5" t="s">
        <v>46</v>
      </c>
      <c r="D2510" s="5" t="s">
        <v>19</v>
      </c>
      <c r="E2510" s="5" t="s">
        <v>399</v>
      </c>
      <c r="F2510" s="9">
        <v>95</v>
      </c>
      <c r="G2510" s="9">
        <v>1017</v>
      </c>
      <c r="H2510" s="5" t="s">
        <v>21</v>
      </c>
      <c r="I2510" s="5" t="s">
        <v>6380</v>
      </c>
      <c r="J2510" s="12" t="str">
        <f>HYPERLINK("https://www.boe.es/gazeta/dias/1803/11/25/pdfs/GMD-1803-95.pdf#page=5","Abrir facsímil")</f>
        <v>Abrir facsímil</v>
      </c>
      <c r="K2510" s="15" t="s">
        <v>23</v>
      </c>
    </row>
    <row r="2511" spans="1:11" ht="42" customHeight="1">
      <c r="A2511" s="4" t="s">
        <v>6381</v>
      </c>
      <c r="B2511" s="5" t="s">
        <v>6381</v>
      </c>
      <c r="C2511" s="5" t="s">
        <v>26</v>
      </c>
      <c r="D2511" s="5" t="s">
        <v>27</v>
      </c>
      <c r="E2511" s="5" t="s">
        <v>47</v>
      </c>
      <c r="F2511" s="9">
        <v>33</v>
      </c>
      <c r="G2511" s="9">
        <v>343</v>
      </c>
      <c r="H2511" s="5" t="s">
        <v>21</v>
      </c>
      <c r="I2511" s="5" t="s">
        <v>6382</v>
      </c>
      <c r="J2511" s="12" t="str">
        <f>HYPERLINK("https://www.boe.es/gazeta/dias/1803/04/26/pdfs/GMD-1803-33.pdf#page=3","Abrir facsímil")</f>
        <v>Abrir facsímil</v>
      </c>
      <c r="K2511" s="15" t="s">
        <v>23</v>
      </c>
    </row>
    <row r="2512" spans="1:11" ht="42" customHeight="1">
      <c r="A2512" s="4" t="s">
        <v>6383</v>
      </c>
      <c r="B2512" s="5" t="s">
        <v>6383</v>
      </c>
      <c r="C2512" s="5" t="s">
        <v>40</v>
      </c>
      <c r="D2512" s="5" t="s">
        <v>41</v>
      </c>
      <c r="E2512" s="5" t="s">
        <v>231</v>
      </c>
      <c r="F2512" s="9">
        <v>26</v>
      </c>
      <c r="G2512" s="9">
        <v>276</v>
      </c>
      <c r="H2512" s="5" t="s">
        <v>21</v>
      </c>
      <c r="I2512" s="5" t="s">
        <v>6384</v>
      </c>
      <c r="J2512" s="12" t="str">
        <f>HYPERLINK("https://www.boe.es/gazeta/dias/1803/04/01/pdfs/GMD-1803-26.pdf#page=4","Abrir facsímil")</f>
        <v>Abrir facsímil</v>
      </c>
      <c r="K2512" s="15" t="s">
        <v>23</v>
      </c>
    </row>
    <row r="2513" spans="1:11" ht="42" customHeight="1">
      <c r="A2513" s="4" t="s">
        <v>6385</v>
      </c>
      <c r="B2513" s="5" t="s">
        <v>6386</v>
      </c>
      <c r="C2513" s="5" t="s">
        <v>40</v>
      </c>
      <c r="D2513" s="5" t="s">
        <v>41</v>
      </c>
      <c r="E2513" s="5" t="s">
        <v>407</v>
      </c>
      <c r="F2513" s="9">
        <v>82</v>
      </c>
      <c r="G2513" s="9">
        <v>886</v>
      </c>
      <c r="H2513" s="5" t="s">
        <v>21</v>
      </c>
      <c r="I2513" s="5" t="s">
        <v>6387</v>
      </c>
      <c r="J2513" s="12" t="str">
        <f>HYPERLINK("https://www.boe.es/gazeta/dias/1803/10/11/pdfs/GMD-1803-82.pdf#page=10","Abrir facsímil")</f>
        <v>Abrir facsímil</v>
      </c>
      <c r="K2513" s="15" t="s">
        <v>23</v>
      </c>
    </row>
    <row r="2514" spans="1:11" ht="42" customHeight="1">
      <c r="A2514" s="4" t="s">
        <v>6388</v>
      </c>
      <c r="B2514" s="5" t="s">
        <v>6388</v>
      </c>
      <c r="C2514" s="5" t="s">
        <v>46</v>
      </c>
      <c r="D2514" s="5" t="s">
        <v>19</v>
      </c>
      <c r="E2514" s="5" t="s">
        <v>369</v>
      </c>
      <c r="F2514" s="9">
        <v>100</v>
      </c>
      <c r="G2514" s="9">
        <v>1071</v>
      </c>
      <c r="H2514" s="5" t="s">
        <v>21</v>
      </c>
      <c r="I2514" s="5" t="s">
        <v>6389</v>
      </c>
      <c r="J2514" s="12" t="str">
        <f>HYPERLINK("https://www.boe.es/gazeta/dias/1803/12/13/pdfs/GMD-1803-100.pdf#page=7","Abrir facsímil")</f>
        <v>Abrir facsímil</v>
      </c>
      <c r="K2514" s="15" t="s">
        <v>23</v>
      </c>
    </row>
    <row r="2515" spans="1:11" ht="42" customHeight="1">
      <c r="A2515" s="4" t="s">
        <v>6390</v>
      </c>
      <c r="B2515" s="5" t="s">
        <v>6391</v>
      </c>
      <c r="C2515" s="5" t="s">
        <v>51</v>
      </c>
      <c r="D2515" s="5" t="s">
        <v>52</v>
      </c>
      <c r="E2515" s="5" t="s">
        <v>439</v>
      </c>
      <c r="F2515" s="9">
        <v>76</v>
      </c>
      <c r="G2515" s="9">
        <v>822</v>
      </c>
      <c r="H2515" s="5" t="s">
        <v>21</v>
      </c>
      <c r="I2515" s="5" t="s">
        <v>6392</v>
      </c>
      <c r="J2515" s="12" t="str">
        <f>HYPERLINK("https://www.boe.es/gazeta/dias/1803/09/20/pdfs/GMD-1803-76.pdf#page=10","Abrir facsímil")</f>
        <v>Abrir facsímil</v>
      </c>
      <c r="K2515" s="15" t="s">
        <v>23</v>
      </c>
    </row>
    <row r="2516" spans="1:11" ht="42" customHeight="1">
      <c r="A2516" s="4" t="s">
        <v>6393</v>
      </c>
      <c r="B2516" s="5" t="s">
        <v>6394</v>
      </c>
      <c r="C2516" s="5" t="s">
        <v>18</v>
      </c>
      <c r="D2516" s="5" t="s">
        <v>19</v>
      </c>
      <c r="E2516" s="5" t="s">
        <v>124</v>
      </c>
      <c r="F2516" s="9">
        <v>20</v>
      </c>
      <c r="G2516" s="9">
        <v>210</v>
      </c>
      <c r="H2516" s="5" t="s">
        <v>21</v>
      </c>
      <c r="I2516" s="5" t="s">
        <v>6395</v>
      </c>
      <c r="J2516" s="12" t="str">
        <f>HYPERLINK("https://www.boe.es/gazeta/dias/1803/03/11/pdfs/GMD-1803-20.pdf#page=6","Abrir facsímil")</f>
        <v>Abrir facsímil</v>
      </c>
      <c r="K2516" s="15" t="s">
        <v>23</v>
      </c>
    </row>
    <row r="2517" spans="1:11" ht="42" customHeight="1">
      <c r="A2517" s="4" t="s">
        <v>6396</v>
      </c>
      <c r="B2517" s="5" t="s">
        <v>6397</v>
      </c>
      <c r="C2517" s="5" t="s">
        <v>40</v>
      </c>
      <c r="D2517" s="5" t="s">
        <v>41</v>
      </c>
      <c r="E2517" s="5" t="s">
        <v>132</v>
      </c>
      <c r="F2517" s="9">
        <v>58</v>
      </c>
      <c r="G2517" s="9">
        <v>630</v>
      </c>
      <c r="H2517" s="5" t="s">
        <v>21</v>
      </c>
      <c r="I2517" s="5" t="s">
        <v>6398</v>
      </c>
      <c r="J2517" s="12" t="str">
        <f>HYPERLINK("https://www.boe.es/gazeta/dias/1803/07/22/pdfs/GMD-1803-58.pdf#page=2","Abrir facsímil")</f>
        <v>Abrir facsímil</v>
      </c>
      <c r="K2517" s="15" t="s">
        <v>23</v>
      </c>
    </row>
    <row r="2518" spans="1:11" ht="42" customHeight="1">
      <c r="A2518" s="4" t="s">
        <v>6399</v>
      </c>
      <c r="B2518" s="5" t="s">
        <v>6400</v>
      </c>
      <c r="C2518" s="5" t="s">
        <v>46</v>
      </c>
      <c r="D2518" s="5" t="s">
        <v>19</v>
      </c>
      <c r="E2518" s="5" t="s">
        <v>630</v>
      </c>
      <c r="F2518" s="9">
        <v>85</v>
      </c>
      <c r="G2518" s="9">
        <v>919</v>
      </c>
      <c r="H2518" s="5" t="s">
        <v>21</v>
      </c>
      <c r="I2518" s="5" t="s">
        <v>6401</v>
      </c>
      <c r="J2518" s="12" t="str">
        <f>HYPERLINK("https://www.boe.es/gazeta/dias/1803/10/21/pdfs/GMD-1803-85.pdf#page=11","Abrir facsímil")</f>
        <v>Abrir facsímil</v>
      </c>
      <c r="K2518" s="15" t="s">
        <v>23</v>
      </c>
    </row>
    <row r="2519" spans="1:11" ht="42" customHeight="1">
      <c r="A2519" s="4" t="s">
        <v>6402</v>
      </c>
      <c r="B2519" s="5" t="s">
        <v>6402</v>
      </c>
      <c r="C2519" s="5" t="s">
        <v>18</v>
      </c>
      <c r="D2519" s="5" t="s">
        <v>19</v>
      </c>
      <c r="E2519" s="5" t="s">
        <v>882</v>
      </c>
      <c r="F2519" s="9">
        <v>60</v>
      </c>
      <c r="G2519" s="9">
        <v>657</v>
      </c>
      <c r="H2519" s="5" t="s">
        <v>21</v>
      </c>
      <c r="I2519" s="5" t="s">
        <v>6403</v>
      </c>
      <c r="J2519" s="12" t="str">
        <f>HYPERLINK("https://www.boe.es/gazeta/dias/1803/07/29/pdfs/GMD-1803-60.pdf#page=9","Abrir facsímil")</f>
        <v>Abrir facsímil</v>
      </c>
      <c r="K2519" s="15" t="s">
        <v>23</v>
      </c>
    </row>
    <row r="2520" spans="1:11" ht="42" customHeight="1">
      <c r="A2520" s="4" t="s">
        <v>6404</v>
      </c>
      <c r="B2520" s="5" t="s">
        <v>6404</v>
      </c>
      <c r="C2520" s="5" t="s">
        <v>80</v>
      </c>
      <c r="D2520" s="5" t="s">
        <v>81</v>
      </c>
      <c r="E2520" s="5" t="s">
        <v>285</v>
      </c>
      <c r="F2520" s="9">
        <v>5</v>
      </c>
      <c r="G2520" s="9">
        <v>48</v>
      </c>
      <c r="H2520" s="5" t="s">
        <v>21</v>
      </c>
      <c r="I2520" s="5" t="s">
        <v>6405</v>
      </c>
      <c r="J2520" s="12" t="str">
        <f>HYPERLINK("https://www.boe.es/gazeta/dias/1803/01/18/pdfs/GMD-1803-5.pdf#page=12","Abrir facsímil")</f>
        <v>Abrir facsímil</v>
      </c>
      <c r="K2520" s="15" t="s">
        <v>23</v>
      </c>
    </row>
    <row r="2521" spans="1:11" ht="42" customHeight="1">
      <c r="A2521" s="4" t="s">
        <v>6406</v>
      </c>
      <c r="B2521" s="5" t="s">
        <v>6406</v>
      </c>
      <c r="C2521" s="5" t="s">
        <v>40</v>
      </c>
      <c r="D2521" s="5" t="s">
        <v>41</v>
      </c>
      <c r="E2521" s="5" t="s">
        <v>285</v>
      </c>
      <c r="F2521" s="9">
        <v>5</v>
      </c>
      <c r="G2521" s="9">
        <v>45</v>
      </c>
      <c r="H2521" s="5" t="s">
        <v>21</v>
      </c>
      <c r="I2521" s="5" t="s">
        <v>6407</v>
      </c>
      <c r="J2521" s="12" t="str">
        <f>HYPERLINK("https://www.boe.es/gazeta/dias/1803/01/18/pdfs/GMD-1803-5.pdf#page=9","Abrir facsímil")</f>
        <v>Abrir facsímil</v>
      </c>
      <c r="K2521" s="15" t="s">
        <v>23</v>
      </c>
    </row>
    <row r="2522" spans="1:11" ht="42" customHeight="1">
      <c r="A2522" s="4" t="s">
        <v>6408</v>
      </c>
      <c r="B2522" s="5" t="s">
        <v>6409</v>
      </c>
      <c r="C2522" s="5" t="s">
        <v>26</v>
      </c>
      <c r="D2522" s="5" t="s">
        <v>27</v>
      </c>
      <c r="E2522" s="5" t="s">
        <v>102</v>
      </c>
      <c r="F2522" s="9">
        <v>31</v>
      </c>
      <c r="G2522" s="9">
        <v>326</v>
      </c>
      <c r="H2522" s="5" t="s">
        <v>21</v>
      </c>
      <c r="I2522" s="5" t="s">
        <v>6410</v>
      </c>
      <c r="J2522" s="12" t="str">
        <f>HYPERLINK("https://www.boe.es/gazeta/dias/1803/04/19/pdfs/GMD-1803-31.pdf#page=6","Abrir facsímil")</f>
        <v>Abrir facsímil</v>
      </c>
      <c r="K2522" s="15" t="s">
        <v>23</v>
      </c>
    </row>
    <row r="2523" spans="1:11" ht="42" customHeight="1">
      <c r="A2523" s="4" t="s">
        <v>6411</v>
      </c>
      <c r="B2523" s="5" t="s">
        <v>6412</v>
      </c>
      <c r="C2523" s="5" t="s">
        <v>26</v>
      </c>
      <c r="D2523" s="5" t="s">
        <v>27</v>
      </c>
      <c r="E2523" s="5" t="s">
        <v>28</v>
      </c>
      <c r="F2523" s="9">
        <v>92</v>
      </c>
      <c r="G2523" s="9">
        <v>986</v>
      </c>
      <c r="H2523" s="5" t="s">
        <v>21</v>
      </c>
      <c r="I2523" s="5" t="s">
        <v>6413</v>
      </c>
      <c r="J2523" s="12" t="str">
        <f>HYPERLINK("https://www.boe.es/gazeta/dias/1803/11/15/pdfs/GMD-1803-92.pdf#page=6","Abrir facsímil")</f>
        <v>Abrir facsímil</v>
      </c>
      <c r="K2523" s="15" t="s">
        <v>23</v>
      </c>
    </row>
    <row r="2524" spans="1:11" ht="42" customHeight="1">
      <c r="A2524" s="4" t="s">
        <v>6414</v>
      </c>
      <c r="B2524" s="5" t="s">
        <v>6414</v>
      </c>
      <c r="C2524" s="5" t="s">
        <v>40</v>
      </c>
      <c r="D2524" s="5" t="s">
        <v>41</v>
      </c>
      <c r="E2524" s="5" t="s">
        <v>189</v>
      </c>
      <c r="F2524" s="9">
        <v>9</v>
      </c>
      <c r="G2524" s="9">
        <v>88</v>
      </c>
      <c r="H2524" s="5" t="s">
        <v>21</v>
      </c>
      <c r="I2524" s="5" t="s">
        <v>6415</v>
      </c>
      <c r="J2524" s="12" t="str">
        <f>HYPERLINK("https://www.boe.es/gazeta/dias/1803/02/01/pdfs/GMD-1803-9.pdf#page=4","Abrir facsímil")</f>
        <v>Abrir facsímil</v>
      </c>
      <c r="K2524" s="15" t="s">
        <v>23</v>
      </c>
    </row>
    <row r="2525" spans="1:11" ht="42" customHeight="1">
      <c r="A2525" s="4" t="s">
        <v>6414</v>
      </c>
      <c r="B2525" s="5" t="s">
        <v>6414</v>
      </c>
      <c r="C2525" s="5" t="s">
        <v>40</v>
      </c>
      <c r="D2525" s="5" t="s">
        <v>41</v>
      </c>
      <c r="E2525" s="5" t="s">
        <v>391</v>
      </c>
      <c r="F2525" s="9">
        <v>61</v>
      </c>
      <c r="G2525" s="9">
        <v>662</v>
      </c>
      <c r="H2525" s="5" t="s">
        <v>21</v>
      </c>
      <c r="I2525" s="5" t="s">
        <v>6416</v>
      </c>
      <c r="J2525" s="12" t="str">
        <f>HYPERLINK("https://www.boe.es/gazeta/dias/1803/08/02/pdfs/GMD-1803-61.pdf#page=2","Abrir facsímil")</f>
        <v>Abrir facsímil</v>
      </c>
      <c r="K2525" s="15" t="s">
        <v>23</v>
      </c>
    </row>
    <row r="2526" spans="1:11" ht="42" customHeight="1">
      <c r="A2526" s="4" t="s">
        <v>6417</v>
      </c>
      <c r="B2526" s="5" t="s">
        <v>6417</v>
      </c>
      <c r="C2526" s="5" t="s">
        <v>40</v>
      </c>
      <c r="D2526" s="5" t="s">
        <v>41</v>
      </c>
      <c r="E2526" s="5" t="s">
        <v>1279</v>
      </c>
      <c r="F2526" s="9">
        <v>3</v>
      </c>
      <c r="G2526" s="9">
        <v>26</v>
      </c>
      <c r="H2526" s="5" t="s">
        <v>21</v>
      </c>
      <c r="I2526" s="5" t="s">
        <v>6418</v>
      </c>
      <c r="J2526" s="12" t="str">
        <f>HYPERLINK("https://www.boe.es/gazeta/dias/1803/01/11/pdfs/GMD-1803-3.pdf#page=6","Abrir facsímil")</f>
        <v>Abrir facsímil</v>
      </c>
      <c r="K2526" s="15" t="s">
        <v>23</v>
      </c>
    </row>
    <row r="2527" spans="1:11" ht="42" customHeight="1">
      <c r="A2527" s="4" t="s">
        <v>6419</v>
      </c>
      <c r="B2527" s="5" t="s">
        <v>6419</v>
      </c>
      <c r="C2527" s="5" t="s">
        <v>40</v>
      </c>
      <c r="D2527" s="5" t="s">
        <v>41</v>
      </c>
      <c r="E2527" s="5" t="s">
        <v>75</v>
      </c>
      <c r="F2527" s="9">
        <v>56</v>
      </c>
      <c r="G2527" s="9">
        <v>607</v>
      </c>
      <c r="H2527" s="5" t="s">
        <v>21</v>
      </c>
      <c r="I2527" s="5" t="s">
        <v>6420</v>
      </c>
      <c r="J2527" s="12" t="str">
        <f>HYPERLINK("https://www.boe.es/gazeta/dias/1803/07/15/pdfs/GMD-1803-56.pdf#page=3","Abrir facsímil")</f>
        <v>Abrir facsímil</v>
      </c>
      <c r="K2527" s="15" t="s">
        <v>23</v>
      </c>
    </row>
    <row r="2528" spans="1:11" ht="42" customHeight="1">
      <c r="A2528" s="4" t="s">
        <v>6421</v>
      </c>
      <c r="B2528" s="5" t="s">
        <v>6422</v>
      </c>
      <c r="C2528" s="5" t="s">
        <v>51</v>
      </c>
      <c r="D2528" s="5" t="s">
        <v>52</v>
      </c>
      <c r="E2528" s="5" t="s">
        <v>189</v>
      </c>
      <c r="F2528" s="9">
        <v>9</v>
      </c>
      <c r="G2528" s="9">
        <v>95</v>
      </c>
      <c r="H2528" s="5" t="s">
        <v>21</v>
      </c>
      <c r="I2528" s="5" t="s">
        <v>6423</v>
      </c>
      <c r="J2528" s="12" t="str">
        <f>HYPERLINK("https://www.boe.es/gazeta/dias/1803/02/01/pdfs/GMD-1803-9.pdf#page=11","Abrir facsímil")</f>
        <v>Abrir facsímil</v>
      </c>
      <c r="K2528" s="15" t="s">
        <v>23</v>
      </c>
    </row>
    <row r="2529" spans="1:11" ht="42" customHeight="1">
      <c r="A2529" s="4" t="s">
        <v>6424</v>
      </c>
      <c r="B2529" s="5" t="s">
        <v>6425</v>
      </c>
      <c r="C2529" s="5" t="s">
        <v>26</v>
      </c>
      <c r="D2529" s="5" t="s">
        <v>27</v>
      </c>
      <c r="E2529" s="5" t="s">
        <v>117</v>
      </c>
      <c r="F2529" s="9">
        <v>59</v>
      </c>
      <c r="G2529" s="9">
        <v>647</v>
      </c>
      <c r="H2529" s="5" t="s">
        <v>21</v>
      </c>
      <c r="I2529" s="5" t="s">
        <v>6426</v>
      </c>
      <c r="J2529" s="12" t="str">
        <f>HYPERLINK("https://www.boe.es/gazeta/dias/1803/07/26/pdfs/GMD-1803-59.pdf#page=7","Abrir facsímil")</f>
        <v>Abrir facsímil</v>
      </c>
      <c r="K2529" s="15" t="s">
        <v>23</v>
      </c>
    </row>
    <row r="2530" spans="1:11" ht="42" customHeight="1">
      <c r="A2530" s="4" t="s">
        <v>6424</v>
      </c>
      <c r="B2530" s="5" t="s">
        <v>6425</v>
      </c>
      <c r="C2530" s="5" t="s">
        <v>26</v>
      </c>
      <c r="D2530" s="5" t="s">
        <v>27</v>
      </c>
      <c r="E2530" s="5" t="s">
        <v>261</v>
      </c>
      <c r="F2530" s="9">
        <v>70</v>
      </c>
      <c r="G2530" s="9">
        <v>766</v>
      </c>
      <c r="H2530" s="5" t="s">
        <v>21</v>
      </c>
      <c r="I2530" s="5" t="s">
        <v>6427</v>
      </c>
      <c r="J2530" s="12" t="str">
        <f>HYPERLINK("https://www.boe.es/gazeta/dias/1803/09/02/pdfs/GMD-1803-70.pdf#page=6","Abrir facsímil")</f>
        <v>Abrir facsímil</v>
      </c>
      <c r="K2530" s="15" t="s">
        <v>23</v>
      </c>
    </row>
    <row r="2531" spans="1:11" ht="42" customHeight="1">
      <c r="A2531" s="4" t="s">
        <v>6428</v>
      </c>
      <c r="B2531" s="5" t="s">
        <v>6429</v>
      </c>
      <c r="C2531" s="5" t="s">
        <v>26</v>
      </c>
      <c r="D2531" s="5" t="s">
        <v>27</v>
      </c>
      <c r="E2531" s="5" t="s">
        <v>231</v>
      </c>
      <c r="F2531" s="9">
        <v>26</v>
      </c>
      <c r="G2531" s="9">
        <v>281</v>
      </c>
      <c r="H2531" s="5" t="s">
        <v>21</v>
      </c>
      <c r="I2531" s="5" t="s">
        <v>6430</v>
      </c>
      <c r="J2531" s="12" t="str">
        <f>HYPERLINK("https://www.boe.es/gazeta/dias/1803/04/01/pdfs/GMD-1803-26.pdf#page=9","Abrir facsímil")</f>
        <v>Abrir facsímil</v>
      </c>
      <c r="K2531" s="15" t="s">
        <v>23</v>
      </c>
    </row>
    <row r="2532" spans="1:11" ht="42" customHeight="1">
      <c r="A2532" s="4" t="s">
        <v>6431</v>
      </c>
      <c r="B2532" s="5" t="s">
        <v>6431</v>
      </c>
      <c r="C2532" s="5" t="s">
        <v>225</v>
      </c>
      <c r="D2532" s="5" t="s">
        <v>226</v>
      </c>
      <c r="E2532" s="5" t="s">
        <v>191</v>
      </c>
      <c r="F2532" s="9">
        <v>34</v>
      </c>
      <c r="G2532" s="9" t="s">
        <v>2271</v>
      </c>
      <c r="H2532" s="5" t="s">
        <v>21</v>
      </c>
      <c r="I2532" s="5" t="s">
        <v>6432</v>
      </c>
      <c r="J2532" s="12" t="str">
        <f>HYPERLINK("https://www.boe.es/gazeta/dias/1803/04/29/pdfs/GMD-C-1803-34.pdf#page=5","Abrir facsímil")</f>
        <v>Abrir facsímil</v>
      </c>
      <c r="K2532" s="15" t="s">
        <v>23</v>
      </c>
    </row>
    <row r="2533" spans="1:11" ht="42" customHeight="1">
      <c r="A2533" s="4" t="s">
        <v>6431</v>
      </c>
      <c r="B2533" s="5" t="s">
        <v>6431</v>
      </c>
      <c r="C2533" s="5" t="s">
        <v>225</v>
      </c>
      <c r="D2533" s="5" t="s">
        <v>226</v>
      </c>
      <c r="E2533" s="5" t="s">
        <v>191</v>
      </c>
      <c r="F2533" s="9">
        <v>34</v>
      </c>
      <c r="G2533" s="9" t="s">
        <v>227</v>
      </c>
      <c r="H2533" s="5" t="s">
        <v>21</v>
      </c>
      <c r="I2533" s="5" t="s">
        <v>6433</v>
      </c>
      <c r="J2533" s="12" t="str">
        <f>HYPERLINK("https://www.boe.es/gazeta/dias/1803/04/29/pdfs/GMD-C-1803-34.pdf#page=7","Abrir facsímil")</f>
        <v>Abrir facsímil</v>
      </c>
      <c r="K2533" s="15" t="s">
        <v>23</v>
      </c>
    </row>
    <row r="2534" spans="1:11" ht="42" customHeight="1">
      <c r="A2534" s="4" t="s">
        <v>6434</v>
      </c>
      <c r="B2534" s="5" t="s">
        <v>6434</v>
      </c>
      <c r="C2534" s="5" t="s">
        <v>874</v>
      </c>
      <c r="D2534" s="5" t="s">
        <v>875</v>
      </c>
      <c r="E2534" s="5" t="s">
        <v>480</v>
      </c>
      <c r="F2534" s="9">
        <v>87</v>
      </c>
      <c r="G2534" s="9" t="s">
        <v>1213</v>
      </c>
      <c r="H2534" s="5" t="s">
        <v>21</v>
      </c>
      <c r="I2534" s="5" t="s">
        <v>6435</v>
      </c>
      <c r="J2534" s="12" t="str">
        <f>HYPERLINK("https://www.boe.es/gazeta/dias/1803/10/28/pdfs/GMD-C-1803-87.pdf#page=2","Abrir facsímil")</f>
        <v>Abrir facsímil</v>
      </c>
      <c r="K2534" s="15" t="s">
        <v>23</v>
      </c>
    </row>
    <row r="2535" spans="1:11" ht="42" customHeight="1">
      <c r="A2535" s="4" t="s">
        <v>6436</v>
      </c>
      <c r="B2535" s="5" t="s">
        <v>6436</v>
      </c>
      <c r="C2535" s="5" t="s">
        <v>874</v>
      </c>
      <c r="D2535" s="5" t="s">
        <v>875</v>
      </c>
      <c r="E2535" s="5" t="s">
        <v>480</v>
      </c>
      <c r="F2535" s="9">
        <v>87</v>
      </c>
      <c r="G2535" s="9" t="s">
        <v>876</v>
      </c>
      <c r="H2535" s="5" t="s">
        <v>21</v>
      </c>
      <c r="I2535" s="5" t="s">
        <v>6437</v>
      </c>
      <c r="J2535" s="12" t="str">
        <f>HYPERLINK("https://www.boe.es/gazeta/dias/1803/10/28/pdfs/GMD-C-1803-87.pdf#page=1","Abrir facsímil")</f>
        <v>Abrir facsímil</v>
      </c>
      <c r="K2535" s="15" t="s">
        <v>23</v>
      </c>
    </row>
    <row r="2536" spans="1:11" ht="42" customHeight="1">
      <c r="A2536" s="4" t="s">
        <v>6438</v>
      </c>
      <c r="B2536" s="5" t="s">
        <v>6438</v>
      </c>
      <c r="C2536" s="5" t="s">
        <v>874</v>
      </c>
      <c r="D2536" s="5" t="s">
        <v>875</v>
      </c>
      <c r="E2536" s="5" t="s">
        <v>480</v>
      </c>
      <c r="F2536" s="9">
        <v>87</v>
      </c>
      <c r="G2536" s="9" t="s">
        <v>876</v>
      </c>
      <c r="H2536" s="5" t="s">
        <v>21</v>
      </c>
      <c r="I2536" s="5" t="s">
        <v>6439</v>
      </c>
      <c r="J2536" s="12" t="str">
        <f>HYPERLINK("https://www.boe.es/gazeta/dias/1803/10/28/pdfs/GMD-C-1803-87.pdf#page=1","Abrir facsímil")</f>
        <v>Abrir facsímil</v>
      </c>
      <c r="K2536" s="15" t="s">
        <v>23</v>
      </c>
    </row>
    <row r="2537" spans="1:11" ht="42" customHeight="1">
      <c r="A2537" s="4" t="s">
        <v>6440</v>
      </c>
      <c r="B2537" s="5" t="s">
        <v>6440</v>
      </c>
      <c r="C2537" s="5" t="s">
        <v>874</v>
      </c>
      <c r="D2537" s="5" t="s">
        <v>875</v>
      </c>
      <c r="E2537" s="5" t="s">
        <v>480</v>
      </c>
      <c r="F2537" s="9">
        <v>87</v>
      </c>
      <c r="G2537" s="9" t="s">
        <v>876</v>
      </c>
      <c r="H2537" s="5" t="s">
        <v>21</v>
      </c>
      <c r="I2537" s="5" t="s">
        <v>6441</v>
      </c>
      <c r="J2537" s="12" t="str">
        <f>HYPERLINK("https://www.boe.es/gazeta/dias/1803/10/28/pdfs/GMD-C-1803-87.pdf#page=1","Abrir facsímil")</f>
        <v>Abrir facsímil</v>
      </c>
      <c r="K2537" s="15" t="s">
        <v>23</v>
      </c>
    </row>
    <row r="2538" spans="1:11" ht="42" customHeight="1">
      <c r="A2538" s="4" t="s">
        <v>6442</v>
      </c>
      <c r="B2538" s="5" t="s">
        <v>6442</v>
      </c>
      <c r="C2538" s="5" t="s">
        <v>874</v>
      </c>
      <c r="D2538" s="5" t="s">
        <v>875</v>
      </c>
      <c r="E2538" s="5" t="s">
        <v>480</v>
      </c>
      <c r="F2538" s="9">
        <v>87</v>
      </c>
      <c r="G2538" s="9" t="s">
        <v>1213</v>
      </c>
      <c r="H2538" s="5" t="s">
        <v>21</v>
      </c>
      <c r="I2538" s="5" t="s">
        <v>6443</v>
      </c>
      <c r="J2538" s="12" t="str">
        <f>HYPERLINK("https://www.boe.es/gazeta/dias/1803/10/28/pdfs/GMD-C-1803-87.pdf#page=2","Abrir facsímil")</f>
        <v>Abrir facsímil</v>
      </c>
      <c r="K2538" s="15" t="s">
        <v>23</v>
      </c>
    </row>
    <row r="2539" spans="1:11" ht="42" customHeight="1">
      <c r="A2539" s="4" t="s">
        <v>6444</v>
      </c>
      <c r="B2539" s="5" t="s">
        <v>6444</v>
      </c>
      <c r="C2539" s="5" t="s">
        <v>51</v>
      </c>
      <c r="D2539" s="5" t="s">
        <v>52</v>
      </c>
      <c r="E2539" s="5" t="s">
        <v>514</v>
      </c>
      <c r="F2539" s="9">
        <v>42</v>
      </c>
      <c r="G2539" s="9">
        <v>438</v>
      </c>
      <c r="H2539" s="5" t="s">
        <v>21</v>
      </c>
      <c r="I2539" s="5" t="s">
        <v>6445</v>
      </c>
      <c r="J2539" s="12" t="str">
        <f>HYPERLINK("https://www.boe.es/gazeta/dias/1803/05/27/pdfs/GMD-1803-42.pdf#page=6","Abrir facsímil")</f>
        <v>Abrir facsímil</v>
      </c>
      <c r="K2539" s="15" t="s">
        <v>23</v>
      </c>
    </row>
    <row r="2540" spans="1:11" ht="42" customHeight="1">
      <c r="A2540" s="4" t="s">
        <v>6446</v>
      </c>
      <c r="B2540" s="5" t="s">
        <v>6446</v>
      </c>
      <c r="C2540" s="5" t="s">
        <v>51</v>
      </c>
      <c r="D2540" s="5" t="s">
        <v>52</v>
      </c>
      <c r="E2540" s="5" t="s">
        <v>289</v>
      </c>
      <c r="F2540" s="9">
        <v>38</v>
      </c>
      <c r="G2540" s="9">
        <v>403</v>
      </c>
      <c r="H2540" s="5" t="s">
        <v>21</v>
      </c>
      <c r="I2540" s="5" t="s">
        <v>6447</v>
      </c>
      <c r="J2540" s="12" t="str">
        <f>HYPERLINK("https://www.boe.es/gazeta/dias/1803/05/13/pdfs/GMD-1803-38.pdf#page=11","Abrir facsímil")</f>
        <v>Abrir facsímil</v>
      </c>
      <c r="K2540" s="15" t="s">
        <v>23</v>
      </c>
    </row>
    <row r="2541" spans="1:11" ht="42" customHeight="1">
      <c r="A2541" s="4" t="s">
        <v>6448</v>
      </c>
      <c r="B2541" s="5" t="s">
        <v>6448</v>
      </c>
      <c r="C2541" s="5" t="s">
        <v>26</v>
      </c>
      <c r="D2541" s="5" t="s">
        <v>27</v>
      </c>
      <c r="E2541" s="5" t="s">
        <v>191</v>
      </c>
      <c r="F2541" s="9">
        <v>34</v>
      </c>
      <c r="G2541" s="9">
        <v>358</v>
      </c>
      <c r="H2541" s="5" t="s">
        <v>21</v>
      </c>
      <c r="I2541" s="5" t="s">
        <v>6449</v>
      </c>
      <c r="J2541" s="12" t="str">
        <f>HYPERLINK("https://www.boe.es/gazeta/dias/1803/04/29/pdfs/GMD-1803-34.pdf#page=6","Abrir facsímil")</f>
        <v>Abrir facsímil</v>
      </c>
      <c r="K2541" s="15" t="s">
        <v>23</v>
      </c>
    </row>
    <row r="2542" spans="1:11" ht="42" customHeight="1">
      <c r="A2542" s="4" t="s">
        <v>6450</v>
      </c>
      <c r="B2542" s="5" t="s">
        <v>6450</v>
      </c>
      <c r="C2542" s="5" t="s">
        <v>51</v>
      </c>
      <c r="D2542" s="5" t="s">
        <v>52</v>
      </c>
      <c r="E2542" s="5" t="s">
        <v>124</v>
      </c>
      <c r="F2542" s="9">
        <v>20</v>
      </c>
      <c r="G2542" s="9">
        <v>211</v>
      </c>
      <c r="H2542" s="5" t="s">
        <v>21</v>
      </c>
      <c r="I2542" s="5" t="s">
        <v>6451</v>
      </c>
      <c r="J2542" s="12" t="str">
        <f>HYPERLINK("https://www.boe.es/gazeta/dias/1803/03/11/pdfs/GMD-1803-20.pdf#page=7","Abrir facsímil")</f>
        <v>Abrir facsímil</v>
      </c>
      <c r="K2542" s="15" t="s">
        <v>23</v>
      </c>
    </row>
    <row r="2543" spans="1:11" ht="42" customHeight="1">
      <c r="A2543" s="4" t="s">
        <v>6452</v>
      </c>
      <c r="B2543" s="5" t="s">
        <v>6452</v>
      </c>
      <c r="C2543" s="5" t="s">
        <v>26</v>
      </c>
      <c r="D2543" s="5" t="s">
        <v>27</v>
      </c>
      <c r="E2543" s="5" t="s">
        <v>138</v>
      </c>
      <c r="F2543" s="9">
        <v>68</v>
      </c>
      <c r="G2543" s="9">
        <v>741</v>
      </c>
      <c r="H2543" s="5" t="s">
        <v>21</v>
      </c>
      <c r="I2543" s="5" t="s">
        <v>6453</v>
      </c>
      <c r="J2543" s="12" t="str">
        <f>HYPERLINK("https://www.boe.es/gazeta/dias/1803/08/26/pdfs/GMD-1803-68.pdf#page=9","Abrir facsímil")</f>
        <v>Abrir facsímil</v>
      </c>
      <c r="K2543" s="15" t="s">
        <v>23</v>
      </c>
    </row>
    <row r="2544" spans="1:11" ht="42" customHeight="1">
      <c r="A2544" s="4" t="s">
        <v>6454</v>
      </c>
      <c r="B2544" s="5" t="s">
        <v>6454</v>
      </c>
      <c r="C2544" s="5" t="s">
        <v>18</v>
      </c>
      <c r="D2544" s="5" t="s">
        <v>19</v>
      </c>
      <c r="E2544" s="5" t="s">
        <v>967</v>
      </c>
      <c r="F2544" s="9">
        <v>35</v>
      </c>
      <c r="G2544" s="9">
        <v>367</v>
      </c>
      <c r="H2544" s="5" t="s">
        <v>21</v>
      </c>
      <c r="I2544" s="5" t="s">
        <v>6455</v>
      </c>
      <c r="J2544" s="12" t="str">
        <f>HYPERLINK("https://www.boe.es/gazeta/dias/1803/05/03/pdfs/GMD-1803-35.pdf#page=7","Abrir facsímil")</f>
        <v>Abrir facsímil</v>
      </c>
      <c r="K2544" s="15" t="s">
        <v>23</v>
      </c>
    </row>
    <row r="2545" spans="1:11" ht="42" customHeight="1">
      <c r="A2545" s="4" t="s">
        <v>6454</v>
      </c>
      <c r="B2545" s="5" t="s">
        <v>6454</v>
      </c>
      <c r="C2545" s="5" t="s">
        <v>26</v>
      </c>
      <c r="D2545" s="5" t="s">
        <v>27</v>
      </c>
      <c r="E2545" s="5" t="s">
        <v>36</v>
      </c>
      <c r="F2545" s="9">
        <v>79</v>
      </c>
      <c r="G2545" s="9">
        <v>855</v>
      </c>
      <c r="H2545" s="5" t="s">
        <v>21</v>
      </c>
      <c r="I2545" s="5" t="s">
        <v>6456</v>
      </c>
      <c r="J2545" s="12" t="str">
        <f>HYPERLINK("https://www.boe.es/gazeta/dias/1803/09/30/pdfs/GMD-1803-79.pdf#page=7","Abrir facsímil")</f>
        <v>Abrir facsímil</v>
      </c>
      <c r="K2545" s="15" t="s">
        <v>23</v>
      </c>
    </row>
    <row r="2546" spans="1:11" ht="42" customHeight="1">
      <c r="A2546" s="4" t="s">
        <v>6454</v>
      </c>
      <c r="B2546" s="5" t="s">
        <v>6454</v>
      </c>
      <c r="C2546" s="5" t="s">
        <v>26</v>
      </c>
      <c r="D2546" s="5" t="s">
        <v>27</v>
      </c>
      <c r="E2546" s="5" t="s">
        <v>630</v>
      </c>
      <c r="F2546" s="9">
        <v>85</v>
      </c>
      <c r="G2546" s="9">
        <v>917</v>
      </c>
      <c r="H2546" s="5" t="s">
        <v>21</v>
      </c>
      <c r="I2546" s="5" t="s">
        <v>6457</v>
      </c>
      <c r="J2546" s="12" t="str">
        <f>HYPERLINK("https://www.boe.es/gazeta/dias/1803/10/21/pdfs/GMD-1803-85.pdf#page=9","Abrir facsímil")</f>
        <v>Abrir facsímil</v>
      </c>
      <c r="K2546" s="15" t="s">
        <v>23</v>
      </c>
    </row>
    <row r="2547" spans="1:11" ht="42" customHeight="1">
      <c r="A2547" s="4" t="s">
        <v>6458</v>
      </c>
      <c r="B2547" s="5" t="s">
        <v>6458</v>
      </c>
      <c r="C2547" s="5" t="s">
        <v>26</v>
      </c>
      <c r="D2547" s="5" t="s">
        <v>27</v>
      </c>
      <c r="E2547" s="5" t="s">
        <v>403</v>
      </c>
      <c r="F2547" s="9">
        <v>91</v>
      </c>
      <c r="G2547" s="9">
        <v>977</v>
      </c>
      <c r="H2547" s="5" t="s">
        <v>21</v>
      </c>
      <c r="I2547" s="5" t="s">
        <v>6459</v>
      </c>
      <c r="J2547" s="12" t="str">
        <f>HYPERLINK("https://www.boe.es/gazeta/dias/1803/11/11/pdfs/GMD-1803-91.pdf#page=9","Abrir facsímil")</f>
        <v>Abrir facsímil</v>
      </c>
      <c r="K2547" s="15" t="s">
        <v>23</v>
      </c>
    </row>
    <row r="2548" spans="1:11" ht="42" customHeight="1">
      <c r="A2548" s="4" t="s">
        <v>6460</v>
      </c>
      <c r="B2548" s="5" t="s">
        <v>6460</v>
      </c>
      <c r="C2548" s="5" t="s">
        <v>80</v>
      </c>
      <c r="D2548" s="5" t="s">
        <v>81</v>
      </c>
      <c r="E2548" s="5" t="s">
        <v>138</v>
      </c>
      <c r="F2548" s="9">
        <v>68</v>
      </c>
      <c r="G2548" s="9">
        <v>744</v>
      </c>
      <c r="H2548" s="5" t="s">
        <v>21</v>
      </c>
      <c r="I2548" s="5" t="s">
        <v>6461</v>
      </c>
      <c r="J2548" s="12" t="str">
        <f>HYPERLINK("https://www.boe.es/gazeta/dias/1803/08/26/pdfs/GMD-1803-68.pdf#page=12","Abrir facsímil")</f>
        <v>Abrir facsímil</v>
      </c>
      <c r="K2548" s="15" t="s">
        <v>23</v>
      </c>
    </row>
    <row r="2549" spans="1:11" ht="42" customHeight="1">
      <c r="A2549" s="4" t="s">
        <v>6462</v>
      </c>
      <c r="B2549" s="5" t="s">
        <v>6462</v>
      </c>
      <c r="C2549" s="5" t="s">
        <v>18</v>
      </c>
      <c r="D2549" s="5" t="s">
        <v>19</v>
      </c>
      <c r="E2549" s="5" t="s">
        <v>630</v>
      </c>
      <c r="F2549" s="9">
        <v>85</v>
      </c>
      <c r="G2549" s="9">
        <v>919</v>
      </c>
      <c r="H2549" s="5" t="s">
        <v>21</v>
      </c>
      <c r="I2549" s="5" t="s">
        <v>6463</v>
      </c>
      <c r="J2549" s="12" t="str">
        <f>HYPERLINK("https://www.boe.es/gazeta/dias/1803/10/21/pdfs/GMD-1803-85.pdf#page=11","Abrir facsímil")</f>
        <v>Abrir facsímil</v>
      </c>
      <c r="K2549" s="15" t="s">
        <v>23</v>
      </c>
    </row>
    <row r="2550" spans="1:11" ht="42" customHeight="1">
      <c r="A2550" s="4" t="s">
        <v>6464</v>
      </c>
      <c r="B2550" s="5" t="s">
        <v>6464</v>
      </c>
      <c r="C2550" s="5" t="s">
        <v>80</v>
      </c>
      <c r="D2550" s="5" t="s">
        <v>81</v>
      </c>
      <c r="E2550" s="5" t="s">
        <v>289</v>
      </c>
      <c r="F2550" s="9">
        <v>38</v>
      </c>
      <c r="G2550" s="9">
        <v>404</v>
      </c>
      <c r="H2550" s="5" t="s">
        <v>21</v>
      </c>
      <c r="I2550" s="5" t="s">
        <v>6465</v>
      </c>
      <c r="J2550" s="12" t="str">
        <f>HYPERLINK("https://www.boe.es/gazeta/dias/1803/05/13/pdfs/GMD-1803-38.pdf#page=12","Abrir facsímil")</f>
        <v>Abrir facsímil</v>
      </c>
      <c r="K2550" s="15" t="s">
        <v>23</v>
      </c>
    </row>
    <row r="2551" spans="1:11" ht="42" customHeight="1">
      <c r="A2551" s="4" t="s">
        <v>6466</v>
      </c>
      <c r="B2551" s="5" t="s">
        <v>6466</v>
      </c>
      <c r="C2551" s="5" t="s">
        <v>80</v>
      </c>
      <c r="D2551" s="5" t="s">
        <v>81</v>
      </c>
      <c r="E2551" s="5" t="s">
        <v>152</v>
      </c>
      <c r="F2551" s="9">
        <v>16</v>
      </c>
      <c r="G2551" s="9">
        <v>167</v>
      </c>
      <c r="H2551" s="5" t="s">
        <v>21</v>
      </c>
      <c r="I2551" s="5" t="s">
        <v>6467</v>
      </c>
      <c r="J2551" s="12" t="str">
        <f>HYPERLINK("https://www.boe.es/gazeta/dias/1803/02/25/pdfs/GMD-1803-16.pdf#page=7","Abrir facsímil")</f>
        <v>Abrir facsímil</v>
      </c>
      <c r="K2551" s="15" t="s">
        <v>23</v>
      </c>
    </row>
    <row r="2552" spans="1:11" ht="42" customHeight="1">
      <c r="A2552" s="4" t="s">
        <v>6468</v>
      </c>
      <c r="B2552" s="5" t="s">
        <v>6469</v>
      </c>
      <c r="C2552" s="5" t="s">
        <v>51</v>
      </c>
      <c r="D2552" s="5" t="s">
        <v>52</v>
      </c>
      <c r="E2552" s="5" t="s">
        <v>313</v>
      </c>
      <c r="F2552" s="9">
        <v>14</v>
      </c>
      <c r="G2552" s="9">
        <v>144</v>
      </c>
      <c r="H2552" s="5" t="s">
        <v>21</v>
      </c>
      <c r="I2552" s="5" t="s">
        <v>6470</v>
      </c>
      <c r="J2552" s="12" t="str">
        <f>HYPERLINK("https://www.boe.es/gazeta/dias/1803/02/18/pdfs/GMD-1803-14.pdf#page=8","Abrir facsímil")</f>
        <v>Abrir facsímil</v>
      </c>
      <c r="K2552" s="15" t="s">
        <v>23</v>
      </c>
    </row>
    <row r="2553" spans="1:11" ht="42" customHeight="1">
      <c r="A2553" s="4" t="s">
        <v>6471</v>
      </c>
      <c r="B2553" s="5" t="s">
        <v>6471</v>
      </c>
      <c r="C2553" s="5" t="s">
        <v>51</v>
      </c>
      <c r="D2553" s="5" t="s">
        <v>52</v>
      </c>
      <c r="E2553" s="5" t="s">
        <v>47</v>
      </c>
      <c r="F2553" s="9">
        <v>33</v>
      </c>
      <c r="G2553" s="9">
        <v>351</v>
      </c>
      <c r="H2553" s="5" t="s">
        <v>21</v>
      </c>
      <c r="I2553" s="5" t="s">
        <v>6472</v>
      </c>
      <c r="J2553" s="12" t="str">
        <f>HYPERLINK("https://www.boe.es/gazeta/dias/1803/04/26/pdfs/GMD-1803-33.pdf#page=11","Abrir facsímil")</f>
        <v>Abrir facsímil</v>
      </c>
      <c r="K2553" s="15" t="s">
        <v>23</v>
      </c>
    </row>
    <row r="2554" spans="1:11" ht="42" customHeight="1">
      <c r="A2554" s="4" t="s">
        <v>6473</v>
      </c>
      <c r="B2554" s="5" t="s">
        <v>6473</v>
      </c>
      <c r="C2554" s="5" t="s">
        <v>51</v>
      </c>
      <c r="D2554" s="5" t="s">
        <v>52</v>
      </c>
      <c r="E2554" s="5" t="s">
        <v>152</v>
      </c>
      <c r="F2554" s="9">
        <v>16</v>
      </c>
      <c r="G2554" s="9">
        <v>168</v>
      </c>
      <c r="H2554" s="5" t="s">
        <v>21</v>
      </c>
      <c r="I2554" s="5" t="s">
        <v>6474</v>
      </c>
      <c r="J2554" s="12" t="str">
        <f>HYPERLINK("https://www.boe.es/gazeta/dias/1803/02/25/pdfs/GMD-1803-16.pdf#page=8","Abrir facsímil")</f>
        <v>Abrir facsímil</v>
      </c>
      <c r="K2554" s="15" t="s">
        <v>23</v>
      </c>
    </row>
    <row r="2555" spans="1:11" ht="42" customHeight="1">
      <c r="A2555" s="4" t="s">
        <v>6475</v>
      </c>
      <c r="B2555" s="5" t="s">
        <v>6475</v>
      </c>
      <c r="C2555" s="5" t="s">
        <v>80</v>
      </c>
      <c r="D2555" s="5" t="s">
        <v>81</v>
      </c>
      <c r="E2555" s="5" t="s">
        <v>293</v>
      </c>
      <c r="F2555" s="9">
        <v>45</v>
      </c>
      <c r="G2555" s="9">
        <v>475</v>
      </c>
      <c r="H2555" s="5" t="s">
        <v>21</v>
      </c>
      <c r="I2555" s="5" t="s">
        <v>6476</v>
      </c>
      <c r="J2555" s="12" t="str">
        <f>HYPERLINK("https://www.boe.es/gazeta/dias/1803/06/07/pdfs/GMD-1803-45.pdf#page=11","Abrir facsímil")</f>
        <v>Abrir facsímil</v>
      </c>
      <c r="K2555" s="15" t="s">
        <v>23</v>
      </c>
    </row>
    <row r="2556" spans="1:11" ht="42" customHeight="1">
      <c r="A2556" s="4" t="s">
        <v>6477</v>
      </c>
      <c r="B2556" s="5" t="s">
        <v>6477</v>
      </c>
      <c r="C2556" s="5" t="s">
        <v>40</v>
      </c>
      <c r="D2556" s="5" t="s">
        <v>41</v>
      </c>
      <c r="E2556" s="5" t="s">
        <v>399</v>
      </c>
      <c r="F2556" s="9">
        <v>95</v>
      </c>
      <c r="G2556" s="9">
        <v>1017</v>
      </c>
      <c r="H2556" s="5" t="s">
        <v>21</v>
      </c>
      <c r="I2556" s="5" t="s">
        <v>6478</v>
      </c>
      <c r="J2556" s="12" t="str">
        <f>HYPERLINK("https://www.boe.es/gazeta/dias/1803/11/25/pdfs/GMD-1803-95.pdf#page=5","Abrir facsímil")</f>
        <v>Abrir facsímil</v>
      </c>
      <c r="K2556" s="15" t="s">
        <v>23</v>
      </c>
    </row>
    <row r="2557" spans="1:11" ht="42" customHeight="1">
      <c r="A2557" s="4" t="s">
        <v>6479</v>
      </c>
      <c r="B2557" s="5" t="s">
        <v>6479</v>
      </c>
      <c r="C2557" s="5" t="s">
        <v>26</v>
      </c>
      <c r="D2557" s="5" t="s">
        <v>27</v>
      </c>
      <c r="E2557" s="5" t="s">
        <v>132</v>
      </c>
      <c r="F2557" s="9">
        <v>58</v>
      </c>
      <c r="G2557" s="9">
        <v>639</v>
      </c>
      <c r="H2557" s="5" t="s">
        <v>21</v>
      </c>
      <c r="I2557" s="5" t="s">
        <v>6480</v>
      </c>
      <c r="J2557" s="12" t="str">
        <f>HYPERLINK("https://www.boe.es/gazeta/dias/1803/07/22/pdfs/GMD-1803-58.pdf#page=11","Abrir facsímil")</f>
        <v>Abrir facsímil</v>
      </c>
      <c r="K2557" s="15" t="s">
        <v>23</v>
      </c>
    </row>
    <row r="2558" spans="1:11" ht="42" customHeight="1">
      <c r="A2558" s="4" t="s">
        <v>6481</v>
      </c>
      <c r="B2558" s="5" t="s">
        <v>6481</v>
      </c>
      <c r="C2558" s="5" t="s">
        <v>18</v>
      </c>
      <c r="D2558" s="5" t="s">
        <v>19</v>
      </c>
      <c r="E2558" s="5" t="s">
        <v>99</v>
      </c>
      <c r="F2558" s="9">
        <v>29</v>
      </c>
      <c r="G2558" s="9">
        <v>311</v>
      </c>
      <c r="H2558" s="5" t="s">
        <v>21</v>
      </c>
      <c r="I2558" s="5" t="s">
        <v>6482</v>
      </c>
      <c r="J2558" s="12" t="str">
        <f>HYPERLINK("https://www.boe.es/gazeta/dias/1803/04/12/pdfs/GMD-1803-29.pdf#page=7","Abrir facsímil")</f>
        <v>Abrir facsímil</v>
      </c>
      <c r="K2558" s="15" t="s">
        <v>23</v>
      </c>
    </row>
    <row r="2559" spans="1:11" ht="42" customHeight="1">
      <c r="A2559" s="4" t="s">
        <v>6483</v>
      </c>
      <c r="B2559" s="5" t="s">
        <v>6483</v>
      </c>
      <c r="C2559" s="5" t="s">
        <v>18</v>
      </c>
      <c r="D2559" s="5" t="s">
        <v>19</v>
      </c>
      <c r="E2559" s="5" t="s">
        <v>391</v>
      </c>
      <c r="F2559" s="9">
        <v>61</v>
      </c>
      <c r="G2559" s="9">
        <v>668</v>
      </c>
      <c r="H2559" s="5" t="s">
        <v>21</v>
      </c>
      <c r="I2559" s="5" t="s">
        <v>6484</v>
      </c>
      <c r="J2559" s="12" t="str">
        <f>HYPERLINK("https://www.boe.es/gazeta/dias/1803/08/02/pdfs/GMD-1803-61.pdf#page=8","Abrir facsímil")</f>
        <v>Abrir facsímil</v>
      </c>
      <c r="K2559" s="15" t="s">
        <v>23</v>
      </c>
    </row>
    <row r="2560" spans="1:11" ht="42" customHeight="1">
      <c r="A2560" s="4" t="s">
        <v>6485</v>
      </c>
      <c r="B2560" s="5" t="s">
        <v>6486</v>
      </c>
      <c r="C2560" s="5" t="s">
        <v>18</v>
      </c>
      <c r="D2560" s="5" t="s">
        <v>19</v>
      </c>
      <c r="E2560" s="5" t="s">
        <v>1915</v>
      </c>
      <c r="F2560" s="9">
        <v>44</v>
      </c>
      <c r="G2560" s="9">
        <v>459</v>
      </c>
      <c r="H2560" s="5" t="s">
        <v>21</v>
      </c>
      <c r="I2560" s="5" t="s">
        <v>6487</v>
      </c>
      <c r="J2560" s="12" t="str">
        <f>HYPERLINK("https://www.boe.es/gazeta/dias/1803/06/03/pdfs/GMD-1803-44.pdf#page=7","Abrir facsímil")</f>
        <v>Abrir facsímil</v>
      </c>
      <c r="K2560" s="15" t="s">
        <v>23</v>
      </c>
    </row>
    <row r="2561" spans="1:11" ht="42" customHeight="1">
      <c r="A2561" s="4" t="s">
        <v>6488</v>
      </c>
      <c r="B2561" s="5" t="s">
        <v>6488</v>
      </c>
      <c r="C2561" s="5" t="s">
        <v>26</v>
      </c>
      <c r="D2561" s="5" t="s">
        <v>27</v>
      </c>
      <c r="E2561" s="5" t="s">
        <v>152</v>
      </c>
      <c r="F2561" s="9">
        <v>16</v>
      </c>
      <c r="G2561" s="9">
        <v>166</v>
      </c>
      <c r="H2561" s="5" t="s">
        <v>21</v>
      </c>
      <c r="I2561" s="5" t="s">
        <v>6489</v>
      </c>
      <c r="J2561" s="12" t="str">
        <f>HYPERLINK("https://www.boe.es/gazeta/dias/1803/02/25/pdfs/GMD-1803-16.pdf#page=6","Abrir facsímil")</f>
        <v>Abrir facsímil</v>
      </c>
      <c r="K2561" s="15" t="s">
        <v>23</v>
      </c>
    </row>
    <row r="2562" spans="1:11" ht="42" customHeight="1">
      <c r="A2562" s="4" t="s">
        <v>6490</v>
      </c>
      <c r="B2562" s="5" t="s">
        <v>6490</v>
      </c>
      <c r="C2562" s="5" t="s">
        <v>26</v>
      </c>
      <c r="D2562" s="5" t="s">
        <v>27</v>
      </c>
      <c r="E2562" s="5" t="s">
        <v>218</v>
      </c>
      <c r="F2562" s="9">
        <v>19</v>
      </c>
      <c r="G2562" s="9">
        <v>199</v>
      </c>
      <c r="H2562" s="5" t="s">
        <v>21</v>
      </c>
      <c r="I2562" s="5" t="s">
        <v>5810</v>
      </c>
      <c r="J2562" s="12" t="str">
        <f>HYPERLINK("https://www.boe.es/gazeta/dias/1803/03/08/pdfs/GMD-1803-19.pdf#page=7","Abrir facsímil")</f>
        <v>Abrir facsímil</v>
      </c>
      <c r="K2562" s="15" t="s">
        <v>23</v>
      </c>
    </row>
    <row r="2563" spans="1:11" ht="42" customHeight="1">
      <c r="A2563" s="4" t="s">
        <v>6491</v>
      </c>
      <c r="B2563" s="5" t="s">
        <v>6492</v>
      </c>
      <c r="C2563" s="5" t="s">
        <v>18</v>
      </c>
      <c r="D2563" s="5" t="s">
        <v>19</v>
      </c>
      <c r="E2563" s="5" t="s">
        <v>109</v>
      </c>
      <c r="F2563" s="9">
        <v>102</v>
      </c>
      <c r="G2563" s="9">
        <v>1097</v>
      </c>
      <c r="H2563" s="5" t="s">
        <v>21</v>
      </c>
      <c r="I2563" s="5" t="s">
        <v>6493</v>
      </c>
      <c r="J2563" s="12" t="str">
        <f>HYPERLINK("https://www.boe.es/gazeta/dias/1803/12/20/pdfs/GMD-1803-102.pdf#page=9","Abrir facsímil")</f>
        <v>Abrir facsímil</v>
      </c>
      <c r="K2563" s="15" t="s">
        <v>23</v>
      </c>
    </row>
    <row r="2564" spans="1:11" ht="42" customHeight="1">
      <c r="A2564" s="4" t="s">
        <v>6494</v>
      </c>
      <c r="B2564" s="5" t="s">
        <v>6495</v>
      </c>
      <c r="C2564" s="5" t="s">
        <v>18</v>
      </c>
      <c r="D2564" s="5" t="s">
        <v>19</v>
      </c>
      <c r="E2564" s="5" t="s">
        <v>399</v>
      </c>
      <c r="F2564" s="9">
        <v>95</v>
      </c>
      <c r="G2564" s="9">
        <v>1017</v>
      </c>
      <c r="H2564" s="5" t="s">
        <v>21</v>
      </c>
      <c r="I2564" s="5" t="s">
        <v>6496</v>
      </c>
      <c r="J2564" s="12" t="str">
        <f>HYPERLINK("https://www.boe.es/gazeta/dias/1803/11/25/pdfs/GMD-1803-95.pdf#page=5","Abrir facsímil")</f>
        <v>Abrir facsímil</v>
      </c>
      <c r="K2564" s="15" t="s">
        <v>23</v>
      </c>
    </row>
    <row r="2565" spans="1:11" ht="42" customHeight="1">
      <c r="A2565" s="4" t="s">
        <v>6497</v>
      </c>
      <c r="B2565" s="5" t="s">
        <v>6497</v>
      </c>
      <c r="C2565" s="5" t="s">
        <v>40</v>
      </c>
      <c r="D2565" s="5" t="s">
        <v>41</v>
      </c>
      <c r="E2565" s="5" t="s">
        <v>407</v>
      </c>
      <c r="F2565" s="9">
        <v>82</v>
      </c>
      <c r="G2565" s="9">
        <v>886</v>
      </c>
      <c r="H2565" s="5" t="s">
        <v>21</v>
      </c>
      <c r="I2565" s="5" t="s">
        <v>6498</v>
      </c>
      <c r="J2565" s="12" t="str">
        <f>HYPERLINK("https://www.boe.es/gazeta/dias/1803/10/11/pdfs/GMD-1803-82.pdf#page=10","Abrir facsímil")</f>
        <v>Abrir facsímil</v>
      </c>
      <c r="K2565" s="15" t="s">
        <v>23</v>
      </c>
    </row>
    <row r="2566" spans="1:11" ht="42" customHeight="1">
      <c r="A2566" s="4" t="s">
        <v>6499</v>
      </c>
      <c r="B2566" s="5" t="s">
        <v>6499</v>
      </c>
      <c r="C2566" s="5" t="s">
        <v>26</v>
      </c>
      <c r="D2566" s="5" t="s">
        <v>27</v>
      </c>
      <c r="E2566" s="5" t="s">
        <v>272</v>
      </c>
      <c r="F2566" s="9">
        <v>25</v>
      </c>
      <c r="G2566" s="9">
        <v>266</v>
      </c>
      <c r="H2566" s="5" t="s">
        <v>21</v>
      </c>
      <c r="I2566" s="5" t="s">
        <v>6500</v>
      </c>
      <c r="J2566" s="12" t="str">
        <f>HYPERLINK("https://www.boe.es/gazeta/dias/1803/03/29/pdfs/GMD-1803-25.pdf#page=6","Abrir facsímil")</f>
        <v>Abrir facsímil</v>
      </c>
      <c r="K2566" s="15" t="s">
        <v>23</v>
      </c>
    </row>
    <row r="2567" spans="1:11" ht="42" customHeight="1">
      <c r="A2567" s="4" t="s">
        <v>6501</v>
      </c>
      <c r="B2567" s="5" t="s">
        <v>6501</v>
      </c>
      <c r="C2567" s="5" t="s">
        <v>26</v>
      </c>
      <c r="D2567" s="5" t="s">
        <v>27</v>
      </c>
      <c r="E2567" s="5" t="s">
        <v>289</v>
      </c>
      <c r="F2567" s="9">
        <v>38</v>
      </c>
      <c r="G2567" s="9">
        <v>402</v>
      </c>
      <c r="H2567" s="5" t="s">
        <v>21</v>
      </c>
      <c r="I2567" s="5" t="s">
        <v>6502</v>
      </c>
      <c r="J2567" s="12" t="str">
        <f>HYPERLINK("https://www.boe.es/gazeta/dias/1803/05/13/pdfs/GMD-1803-38.pdf#page=10","Abrir facsímil")</f>
        <v>Abrir facsímil</v>
      </c>
      <c r="K2567" s="15" t="s">
        <v>23</v>
      </c>
    </row>
    <row r="2568" spans="1:11" ht="42" customHeight="1">
      <c r="A2568" s="4" t="s">
        <v>6503</v>
      </c>
      <c r="B2568" s="5" t="s">
        <v>6503</v>
      </c>
      <c r="C2568" s="5" t="s">
        <v>26</v>
      </c>
      <c r="D2568" s="5" t="s">
        <v>27</v>
      </c>
      <c r="E2568" s="5" t="s">
        <v>784</v>
      </c>
      <c r="F2568" s="9">
        <v>86</v>
      </c>
      <c r="G2568" s="9">
        <v>931</v>
      </c>
      <c r="H2568" s="5" t="s">
        <v>21</v>
      </c>
      <c r="I2568" s="5" t="s">
        <v>6504</v>
      </c>
      <c r="J2568" s="12" t="str">
        <f>HYPERLINK("https://www.boe.es/gazeta/dias/1803/10/25/pdfs/GMD-1803-86.pdf#page=11","Abrir facsímil")</f>
        <v>Abrir facsímil</v>
      </c>
      <c r="K2568" s="15" t="s">
        <v>23</v>
      </c>
    </row>
    <row r="2569" spans="1:11" ht="42" customHeight="1">
      <c r="A2569" s="4" t="s">
        <v>6505</v>
      </c>
      <c r="B2569" s="5" t="s">
        <v>6505</v>
      </c>
      <c r="C2569" s="5" t="s">
        <v>18</v>
      </c>
      <c r="D2569" s="5" t="s">
        <v>19</v>
      </c>
      <c r="E2569" s="5" t="s">
        <v>20</v>
      </c>
      <c r="F2569" s="9">
        <v>97</v>
      </c>
      <c r="G2569" s="9">
        <v>1044</v>
      </c>
      <c r="H2569" s="5" t="s">
        <v>21</v>
      </c>
      <c r="I2569" s="5" t="s">
        <v>6506</v>
      </c>
      <c r="J2569" s="12" t="str">
        <f>HYPERLINK("https://www.boe.es/gazeta/dias/1803/12/02/pdfs/GMD-1803-97.pdf#page=8","Abrir facsímil")</f>
        <v>Abrir facsímil</v>
      </c>
      <c r="K2569" s="15" t="s">
        <v>23</v>
      </c>
    </row>
    <row r="2570" spans="1:11" ht="42" customHeight="1">
      <c r="A2570" s="4" t="s">
        <v>6507</v>
      </c>
      <c r="B2570" s="5" t="s">
        <v>6507</v>
      </c>
      <c r="C2570" s="5" t="s">
        <v>18</v>
      </c>
      <c r="D2570" s="5" t="s">
        <v>19</v>
      </c>
      <c r="E2570" s="5" t="s">
        <v>218</v>
      </c>
      <c r="F2570" s="9">
        <v>19</v>
      </c>
      <c r="G2570" s="9">
        <v>201</v>
      </c>
      <c r="H2570" s="5" t="s">
        <v>21</v>
      </c>
      <c r="I2570" s="5" t="s">
        <v>6508</v>
      </c>
      <c r="J2570" s="12" t="str">
        <f>HYPERLINK("https://www.boe.es/gazeta/dias/1803/03/08/pdfs/GMD-1803-19.pdf#page=9","Abrir facsímil")</f>
        <v>Abrir facsímil</v>
      </c>
      <c r="K2570" s="15" t="s">
        <v>23</v>
      </c>
    </row>
    <row r="2571" spans="1:11" ht="42" customHeight="1">
      <c r="A2571" s="4" t="s">
        <v>6509</v>
      </c>
      <c r="B2571" s="5" t="s">
        <v>6509</v>
      </c>
      <c r="C2571" s="5" t="s">
        <v>40</v>
      </c>
      <c r="D2571" s="5" t="s">
        <v>41</v>
      </c>
      <c r="E2571" s="5" t="s">
        <v>214</v>
      </c>
      <c r="F2571" s="9">
        <v>17</v>
      </c>
      <c r="G2571" s="9">
        <v>171</v>
      </c>
      <c r="H2571" s="5" t="s">
        <v>21</v>
      </c>
      <c r="I2571" s="5" t="s">
        <v>6510</v>
      </c>
      <c r="J2571" s="12" t="str">
        <f>HYPERLINK("https://www.boe.es/gazeta/dias/1803/03/01/pdfs/GMD-1803-17.pdf#page=3","Abrir facsímil")</f>
        <v>Abrir facsímil</v>
      </c>
      <c r="K2571" s="15" t="s">
        <v>23</v>
      </c>
    </row>
    <row r="2572" spans="1:11" ht="42" customHeight="1">
      <c r="A2572" s="4" t="s">
        <v>6511</v>
      </c>
      <c r="B2572" s="5" t="s">
        <v>6511</v>
      </c>
      <c r="C2572" s="5" t="s">
        <v>80</v>
      </c>
      <c r="D2572" s="5" t="s">
        <v>81</v>
      </c>
      <c r="E2572" s="5" t="s">
        <v>407</v>
      </c>
      <c r="F2572" s="9">
        <v>82</v>
      </c>
      <c r="G2572" s="9">
        <v>887</v>
      </c>
      <c r="H2572" s="5" t="s">
        <v>21</v>
      </c>
      <c r="I2572" s="5" t="s">
        <v>6512</v>
      </c>
      <c r="J2572" s="12" t="str">
        <f>HYPERLINK("https://www.boe.es/gazeta/dias/1803/10/11/pdfs/GMD-1803-82.pdf#page=11","Abrir facsímil")</f>
        <v>Abrir facsímil</v>
      </c>
      <c r="K2572" s="15" t="s">
        <v>23</v>
      </c>
    </row>
    <row r="2573" spans="1:11" ht="42" customHeight="1">
      <c r="A2573" s="4" t="s">
        <v>6513</v>
      </c>
      <c r="B2573" s="5" t="s">
        <v>6514</v>
      </c>
      <c r="C2573" s="5" t="s">
        <v>26</v>
      </c>
      <c r="D2573" s="5" t="s">
        <v>27</v>
      </c>
      <c r="E2573" s="5" t="s">
        <v>272</v>
      </c>
      <c r="F2573" s="9">
        <v>25</v>
      </c>
      <c r="G2573" s="9">
        <v>262</v>
      </c>
      <c r="H2573" s="5" t="s">
        <v>21</v>
      </c>
      <c r="I2573" s="5" t="s">
        <v>6515</v>
      </c>
      <c r="J2573" s="12" t="str">
        <f>HYPERLINK("https://www.boe.es/gazeta/dias/1803/03/29/pdfs/GMD-1803-25.pdf#page=2","Abrir facsímil")</f>
        <v>Abrir facsímil</v>
      </c>
      <c r="K2573" s="15" t="s">
        <v>23</v>
      </c>
    </row>
    <row r="2574" spans="1:11" ht="42" customHeight="1">
      <c r="A2574" s="4" t="s">
        <v>6513</v>
      </c>
      <c r="B2574" s="5" t="s">
        <v>6514</v>
      </c>
      <c r="C2574" s="5" t="s">
        <v>26</v>
      </c>
      <c r="D2574" s="5" t="s">
        <v>27</v>
      </c>
      <c r="E2574" s="5" t="s">
        <v>199</v>
      </c>
      <c r="F2574" s="9">
        <v>88</v>
      </c>
      <c r="G2574" s="9">
        <v>941</v>
      </c>
      <c r="H2574" s="5" t="s">
        <v>21</v>
      </c>
      <c r="I2574" s="5" t="s">
        <v>6516</v>
      </c>
      <c r="J2574" s="12" t="str">
        <f>HYPERLINK("https://www.boe.es/gazeta/dias/1803/11/01/pdfs/GMD-1803-88.pdf#page=1","Abrir facsímil")</f>
        <v>Abrir facsímil</v>
      </c>
      <c r="K2574" s="15" t="s">
        <v>23</v>
      </c>
    </row>
    <row r="2575" spans="1:11" ht="42" customHeight="1">
      <c r="A2575" s="4" t="s">
        <v>6513</v>
      </c>
      <c r="B2575" s="5" t="s">
        <v>6514</v>
      </c>
      <c r="C2575" s="5" t="s">
        <v>40</v>
      </c>
      <c r="D2575" s="5" t="s">
        <v>41</v>
      </c>
      <c r="E2575" s="5" t="s">
        <v>20</v>
      </c>
      <c r="F2575" s="9">
        <v>97</v>
      </c>
      <c r="G2575" s="9">
        <v>1038</v>
      </c>
      <c r="H2575" s="5" t="s">
        <v>21</v>
      </c>
      <c r="I2575" s="5" t="s">
        <v>6517</v>
      </c>
      <c r="J2575" s="12" t="str">
        <f>HYPERLINK("https://www.boe.es/gazeta/dias/1803/12/02/pdfs/GMD-1803-97.pdf#page=2","Abrir facsímil")</f>
        <v>Abrir facsímil</v>
      </c>
      <c r="K2575" s="15" t="s">
        <v>23</v>
      </c>
    </row>
    <row r="2576" spans="1:11" ht="42" customHeight="1">
      <c r="A2576" s="4" t="s">
        <v>6513</v>
      </c>
      <c r="B2576" s="5" t="s">
        <v>6514</v>
      </c>
      <c r="C2576" s="5" t="s">
        <v>26</v>
      </c>
      <c r="D2576" s="5" t="s">
        <v>27</v>
      </c>
      <c r="E2576" s="5" t="s">
        <v>795</v>
      </c>
      <c r="F2576" s="9">
        <v>98</v>
      </c>
      <c r="G2576" s="9">
        <v>1046</v>
      </c>
      <c r="H2576" s="5" t="s">
        <v>21</v>
      </c>
      <c r="I2576" s="5" t="s">
        <v>6518</v>
      </c>
      <c r="J2576" s="12" t="str">
        <f>HYPERLINK("https://www.boe.es/gazeta/dias/1803/12/06/pdfs/GMD-1803-98.pdf#page=2","Abrir facsímil")</f>
        <v>Abrir facsímil</v>
      </c>
      <c r="K2576" s="15" t="s">
        <v>23</v>
      </c>
    </row>
    <row r="2577" spans="1:11" ht="42" customHeight="1">
      <c r="A2577" s="4" t="s">
        <v>6519</v>
      </c>
      <c r="B2577" s="5" t="s">
        <v>6519</v>
      </c>
      <c r="C2577" s="5" t="s">
        <v>26</v>
      </c>
      <c r="D2577" s="5" t="s">
        <v>27</v>
      </c>
      <c r="E2577" s="5" t="s">
        <v>203</v>
      </c>
      <c r="F2577" s="9">
        <v>32</v>
      </c>
      <c r="G2577" s="9">
        <v>340</v>
      </c>
      <c r="H2577" s="5" t="s">
        <v>21</v>
      </c>
      <c r="I2577" s="5" t="s">
        <v>6520</v>
      </c>
      <c r="J2577" s="12" t="str">
        <f>HYPERLINK("https://www.boe.es/gazeta/dias/1803/04/22/pdfs/GMD-1803-32.pdf#page=12","Abrir facsímil")</f>
        <v>Abrir facsímil</v>
      </c>
      <c r="K2577" s="15" t="s">
        <v>23</v>
      </c>
    </row>
    <row r="2578" spans="1:11" ht="42" customHeight="1">
      <c r="A2578" s="4" t="s">
        <v>6521</v>
      </c>
      <c r="B2578" s="5" t="s">
        <v>6521</v>
      </c>
      <c r="C2578" s="5" t="s">
        <v>26</v>
      </c>
      <c r="D2578" s="5" t="s">
        <v>27</v>
      </c>
      <c r="E2578" s="5" t="s">
        <v>71</v>
      </c>
      <c r="F2578" s="9">
        <v>39</v>
      </c>
      <c r="G2578" s="9">
        <v>413</v>
      </c>
      <c r="H2578" s="5" t="s">
        <v>21</v>
      </c>
      <c r="I2578" s="5" t="s">
        <v>6522</v>
      </c>
      <c r="J2578" s="12" t="str">
        <f>HYPERLINK("https://www.boe.es/gazeta/dias/1803/05/17/pdfs/GMD-1803-39.pdf#page=9","Abrir facsímil")</f>
        <v>Abrir facsímil</v>
      </c>
      <c r="K2578" s="15" t="s">
        <v>23</v>
      </c>
    </row>
    <row r="2579" spans="1:11" ht="42" customHeight="1">
      <c r="A2579" s="4" t="s">
        <v>6523</v>
      </c>
      <c r="B2579" s="5" t="s">
        <v>6523</v>
      </c>
      <c r="C2579" s="5" t="s">
        <v>51</v>
      </c>
      <c r="D2579" s="5" t="s">
        <v>52</v>
      </c>
      <c r="E2579" s="5" t="s">
        <v>919</v>
      </c>
      <c r="F2579" s="9">
        <v>69</v>
      </c>
      <c r="G2579" s="9">
        <v>751</v>
      </c>
      <c r="H2579" s="5" t="s">
        <v>21</v>
      </c>
      <c r="I2579" s="5" t="s">
        <v>6524</v>
      </c>
      <c r="J2579" s="12" t="str">
        <f>HYPERLINK("https://www.boe.es/gazeta/dias/1803/08/30/pdfs/GMD-1803-69.pdf#page=7","Abrir facsímil")</f>
        <v>Abrir facsímil</v>
      </c>
      <c r="K2579" s="15" t="s">
        <v>23</v>
      </c>
    </row>
    <row r="2580" spans="1:11" ht="42" customHeight="1">
      <c r="A2580" s="4" t="s">
        <v>6525</v>
      </c>
      <c r="B2580" s="5" t="s">
        <v>6525</v>
      </c>
      <c r="C2580" s="5" t="s">
        <v>51</v>
      </c>
      <c r="D2580" s="5" t="s">
        <v>52</v>
      </c>
      <c r="E2580" s="5" t="s">
        <v>657</v>
      </c>
      <c r="F2580" s="9">
        <v>24</v>
      </c>
      <c r="G2580" s="9">
        <v>259</v>
      </c>
      <c r="H2580" s="5" t="s">
        <v>21</v>
      </c>
      <c r="I2580" s="5" t="s">
        <v>6526</v>
      </c>
      <c r="J2580" s="12" t="str">
        <f>HYPERLINK("https://www.boe.es/gazeta/dias/1803/03/25/pdfs/GMD-1803-24.pdf#page=11","Abrir facsímil")</f>
        <v>Abrir facsímil</v>
      </c>
      <c r="K2580" s="15" t="s">
        <v>23</v>
      </c>
    </row>
    <row r="2581" spans="1:11" ht="42" customHeight="1">
      <c r="A2581" s="4" t="s">
        <v>6527</v>
      </c>
      <c r="B2581" s="5" t="s">
        <v>6527</v>
      </c>
      <c r="C2581" s="5" t="s">
        <v>51</v>
      </c>
      <c r="D2581" s="5" t="s">
        <v>52</v>
      </c>
      <c r="E2581" s="5" t="s">
        <v>211</v>
      </c>
      <c r="F2581" s="9">
        <v>71</v>
      </c>
      <c r="G2581" s="9">
        <v>779</v>
      </c>
      <c r="H2581" s="5" t="s">
        <v>21</v>
      </c>
      <c r="I2581" s="5" t="s">
        <v>6528</v>
      </c>
      <c r="J2581" s="12" t="str">
        <f>HYPERLINK("https://www.boe.es/gazeta/dias/1803/09/06/pdfs/GMD-1803-71.pdf#page=11","Abrir facsímil")</f>
        <v>Abrir facsímil</v>
      </c>
      <c r="K2581" s="15" t="s">
        <v>23</v>
      </c>
    </row>
    <row r="2582" spans="1:11" ht="42" customHeight="1">
      <c r="A2582" s="4" t="s">
        <v>6529</v>
      </c>
      <c r="B2582" s="5" t="s">
        <v>6529</v>
      </c>
      <c r="C2582" s="5" t="s">
        <v>46</v>
      </c>
      <c r="D2582" s="5" t="s">
        <v>19</v>
      </c>
      <c r="E2582" s="5" t="s">
        <v>113</v>
      </c>
      <c r="F2582" s="9">
        <v>93</v>
      </c>
      <c r="G2582" s="9">
        <v>999</v>
      </c>
      <c r="H2582" s="5" t="s">
        <v>21</v>
      </c>
      <c r="I2582" s="5" t="s">
        <v>6530</v>
      </c>
      <c r="J2582" s="12" t="str">
        <f>HYPERLINK("https://www.boe.es/gazeta/dias/1803/11/18/pdfs/GMD-1803-93.pdf#page=11","Abrir facsímil")</f>
        <v>Abrir facsímil</v>
      </c>
      <c r="K2582" s="15" t="s">
        <v>23</v>
      </c>
    </row>
    <row r="2583" spans="1:11" ht="42" customHeight="1">
      <c r="A2583" s="4" t="s">
        <v>6531</v>
      </c>
      <c r="B2583" s="5" t="s">
        <v>6531</v>
      </c>
      <c r="C2583" s="5" t="s">
        <v>51</v>
      </c>
      <c r="D2583" s="5" t="s">
        <v>52</v>
      </c>
      <c r="E2583" s="5" t="s">
        <v>113</v>
      </c>
      <c r="F2583" s="9">
        <v>93</v>
      </c>
      <c r="G2583" s="9">
        <v>997</v>
      </c>
      <c r="H2583" s="5" t="s">
        <v>21</v>
      </c>
      <c r="I2583" s="5" t="s">
        <v>6532</v>
      </c>
      <c r="J2583" s="12" t="str">
        <f>HYPERLINK("https://www.boe.es/gazeta/dias/1803/11/18/pdfs/GMD-1803-93.pdf#page=9","Abrir facsímil")</f>
        <v>Abrir facsímil</v>
      </c>
      <c r="K2583" s="15" t="s">
        <v>23</v>
      </c>
    </row>
    <row r="2584" spans="1:11" ht="42" customHeight="1">
      <c r="A2584" s="4" t="s">
        <v>6533</v>
      </c>
      <c r="B2584" s="5" t="s">
        <v>6533</v>
      </c>
      <c r="C2584" s="5" t="s">
        <v>18</v>
      </c>
      <c r="D2584" s="5" t="s">
        <v>19</v>
      </c>
      <c r="E2584" s="5" t="s">
        <v>160</v>
      </c>
      <c r="F2584" s="9">
        <v>81</v>
      </c>
      <c r="G2584" s="9">
        <v>872</v>
      </c>
      <c r="H2584" s="5" t="s">
        <v>21</v>
      </c>
      <c r="I2584" s="5" t="s">
        <v>6534</v>
      </c>
      <c r="J2584" s="12" t="str">
        <f>HYPERLINK("https://www.boe.es/gazeta/dias/1803/10/07/pdfs/GMD-1803-81.pdf#page=8","Abrir facsímil")</f>
        <v>Abrir facsímil</v>
      </c>
      <c r="K2584" s="15" t="s">
        <v>23</v>
      </c>
    </row>
    <row r="2585" spans="1:11" ht="42" customHeight="1">
      <c r="A2585" s="4" t="s">
        <v>6535</v>
      </c>
      <c r="B2585" s="5" t="s">
        <v>6535</v>
      </c>
      <c r="C2585" s="5" t="s">
        <v>80</v>
      </c>
      <c r="D2585" s="5" t="s">
        <v>81</v>
      </c>
      <c r="E2585" s="5" t="s">
        <v>138</v>
      </c>
      <c r="F2585" s="9">
        <v>68</v>
      </c>
      <c r="G2585" s="9">
        <v>744</v>
      </c>
      <c r="H2585" s="5" t="s">
        <v>21</v>
      </c>
      <c r="I2585" s="5" t="s">
        <v>6536</v>
      </c>
      <c r="J2585" s="12" t="str">
        <f>HYPERLINK("https://www.boe.es/gazeta/dias/1803/08/26/pdfs/GMD-1803-68.pdf#page=12","Abrir facsímil")</f>
        <v>Abrir facsímil</v>
      </c>
      <c r="K2585" s="15" t="s">
        <v>23</v>
      </c>
    </row>
    <row r="2586" spans="1:11" ht="42" customHeight="1">
      <c r="A2586" s="4" t="s">
        <v>6537</v>
      </c>
      <c r="B2586" s="5" t="s">
        <v>6538</v>
      </c>
      <c r="C2586" s="5" t="s">
        <v>51</v>
      </c>
      <c r="D2586" s="5" t="s">
        <v>52</v>
      </c>
      <c r="E2586" s="5" t="s">
        <v>189</v>
      </c>
      <c r="F2586" s="9">
        <v>9</v>
      </c>
      <c r="G2586" s="9">
        <v>91</v>
      </c>
      <c r="H2586" s="5" t="s">
        <v>21</v>
      </c>
      <c r="I2586" s="5" t="s">
        <v>6539</v>
      </c>
      <c r="J2586" s="12" t="str">
        <f>HYPERLINK("https://www.boe.es/gazeta/dias/1803/02/01/pdfs/GMD-1803-9.pdf#page=7","Abrir facsímil")</f>
        <v>Abrir facsímil</v>
      </c>
      <c r="K2586" s="15" t="s">
        <v>23</v>
      </c>
    </row>
    <row r="2587" spans="1:11" ht="42" customHeight="1">
      <c r="A2587" s="4" t="s">
        <v>6540</v>
      </c>
      <c r="B2587" s="5" t="s">
        <v>6541</v>
      </c>
      <c r="C2587" s="5" t="s">
        <v>51</v>
      </c>
      <c r="D2587" s="5" t="s">
        <v>52</v>
      </c>
      <c r="E2587" s="5" t="s">
        <v>477</v>
      </c>
      <c r="F2587" s="9">
        <v>48</v>
      </c>
      <c r="G2587" s="9">
        <v>511</v>
      </c>
      <c r="H2587" s="5" t="s">
        <v>21</v>
      </c>
      <c r="I2587" s="5" t="s">
        <v>6542</v>
      </c>
      <c r="J2587" s="12" t="str">
        <f>HYPERLINK("https://www.boe.es/gazeta/dias/1803/06/17/pdfs/GMD-1803-48.pdf#page=11","Abrir facsímil")</f>
        <v>Abrir facsímil</v>
      </c>
      <c r="K2587" s="15" t="s">
        <v>23</v>
      </c>
    </row>
    <row r="2588" spans="1:11" ht="42" customHeight="1">
      <c r="A2588" s="4" t="s">
        <v>6543</v>
      </c>
      <c r="B2588" s="5" t="s">
        <v>6543</v>
      </c>
      <c r="C2588" s="5" t="s">
        <v>26</v>
      </c>
      <c r="D2588" s="5" t="s">
        <v>27</v>
      </c>
      <c r="E2588" s="5" t="s">
        <v>795</v>
      </c>
      <c r="F2588" s="9">
        <v>98</v>
      </c>
      <c r="G2588" s="9">
        <v>1050</v>
      </c>
      <c r="H2588" s="5" t="s">
        <v>21</v>
      </c>
      <c r="I2588" s="5" t="s">
        <v>6544</v>
      </c>
      <c r="J2588" s="12" t="str">
        <f>HYPERLINK("https://www.boe.es/gazeta/dias/1803/12/06/pdfs/GMD-1803-98.pdf#page=6","Abrir facsímil")</f>
        <v>Abrir facsímil</v>
      </c>
      <c r="K2588" s="15" t="s">
        <v>23</v>
      </c>
    </row>
    <row r="2589" spans="1:11" ht="42" customHeight="1">
      <c r="A2589" s="4" t="s">
        <v>6545</v>
      </c>
      <c r="B2589" s="5" t="s">
        <v>6545</v>
      </c>
      <c r="C2589" s="5" t="s">
        <v>26</v>
      </c>
      <c r="D2589" s="5" t="s">
        <v>27</v>
      </c>
      <c r="E2589" s="5" t="s">
        <v>910</v>
      </c>
      <c r="F2589" s="9">
        <v>66</v>
      </c>
      <c r="G2589" s="9">
        <v>719</v>
      </c>
      <c r="H2589" s="5" t="s">
        <v>21</v>
      </c>
      <c r="I2589" s="5" t="s">
        <v>6546</v>
      </c>
      <c r="J2589" s="12" t="str">
        <f>HYPERLINK("https://www.boe.es/gazeta/dias/1803/08/19/pdfs/GMD-1803-66.pdf#page=7","Abrir facsímil")</f>
        <v>Abrir facsímil</v>
      </c>
      <c r="K2589" s="15" t="s">
        <v>23</v>
      </c>
    </row>
    <row r="2590" spans="1:11" ht="42" customHeight="1">
      <c r="A2590" s="4" t="s">
        <v>6547</v>
      </c>
      <c r="B2590" s="5" t="s">
        <v>6547</v>
      </c>
      <c r="C2590" s="5" t="s">
        <v>80</v>
      </c>
      <c r="D2590" s="5" t="s">
        <v>81</v>
      </c>
      <c r="E2590" s="5" t="s">
        <v>132</v>
      </c>
      <c r="F2590" s="9">
        <v>58</v>
      </c>
      <c r="G2590" s="9">
        <v>640</v>
      </c>
      <c r="H2590" s="5" t="s">
        <v>21</v>
      </c>
      <c r="I2590" s="5" t="s">
        <v>6548</v>
      </c>
      <c r="J2590" s="12" t="str">
        <f>HYPERLINK("https://www.boe.es/gazeta/dias/1803/07/22/pdfs/GMD-1803-58.pdf#page=12","Abrir facsímil")</f>
        <v>Abrir facsímil</v>
      </c>
      <c r="K2590" s="15" t="s">
        <v>23</v>
      </c>
    </row>
    <row r="2591" spans="1:11" ht="42" customHeight="1">
      <c r="A2591" s="4" t="s">
        <v>6549</v>
      </c>
      <c r="B2591" s="5" t="s">
        <v>6549</v>
      </c>
      <c r="C2591" s="5" t="s">
        <v>18</v>
      </c>
      <c r="D2591" s="5" t="s">
        <v>19</v>
      </c>
      <c r="E2591" s="5" t="s">
        <v>439</v>
      </c>
      <c r="F2591" s="9">
        <v>76</v>
      </c>
      <c r="G2591" s="9">
        <v>823</v>
      </c>
      <c r="H2591" s="5" t="s">
        <v>21</v>
      </c>
      <c r="I2591" s="5" t="s">
        <v>6550</v>
      </c>
      <c r="J2591" s="12" t="str">
        <f>HYPERLINK("https://www.boe.es/gazeta/dias/1803/09/20/pdfs/GMD-1803-76.pdf#page=11","Abrir facsímil")</f>
        <v>Abrir facsímil</v>
      </c>
      <c r="K2591" s="15" t="s">
        <v>23</v>
      </c>
    </row>
    <row r="2592" spans="1:11" ht="42" customHeight="1">
      <c r="A2592" s="4" t="s">
        <v>6551</v>
      </c>
      <c r="B2592" s="5" t="s">
        <v>6552</v>
      </c>
      <c r="C2592" s="5" t="s">
        <v>26</v>
      </c>
      <c r="D2592" s="5" t="s">
        <v>27</v>
      </c>
      <c r="E2592" s="5" t="s">
        <v>514</v>
      </c>
      <c r="F2592" s="9">
        <v>42</v>
      </c>
      <c r="G2592" s="9">
        <v>439</v>
      </c>
      <c r="H2592" s="5" t="s">
        <v>21</v>
      </c>
      <c r="I2592" s="5" t="s">
        <v>6553</v>
      </c>
      <c r="J2592" s="12" t="str">
        <f>HYPERLINK("https://www.boe.es/gazeta/dias/1803/05/27/pdfs/GMD-1803-42.pdf#page=7","Abrir facsímil")</f>
        <v>Abrir facsímil</v>
      </c>
      <c r="K2592" s="15" t="s">
        <v>23</v>
      </c>
    </row>
    <row r="2593" spans="1:11" ht="42" customHeight="1">
      <c r="A2593" s="4" t="s">
        <v>6554</v>
      </c>
      <c r="B2593" s="5" t="s">
        <v>6555</v>
      </c>
      <c r="C2593" s="5" t="s">
        <v>26</v>
      </c>
      <c r="D2593" s="5" t="s">
        <v>27</v>
      </c>
      <c r="E2593" s="5" t="s">
        <v>910</v>
      </c>
      <c r="F2593" s="9">
        <v>66</v>
      </c>
      <c r="G2593" s="9">
        <v>719</v>
      </c>
      <c r="H2593" s="5" t="s">
        <v>21</v>
      </c>
      <c r="I2593" s="5" t="s">
        <v>6556</v>
      </c>
      <c r="J2593" s="12" t="str">
        <f>HYPERLINK("https://www.boe.es/gazeta/dias/1803/08/19/pdfs/GMD-1803-66.pdf#page=7","Abrir facsímil")</f>
        <v>Abrir facsímil</v>
      </c>
      <c r="K2593" s="15" t="s">
        <v>23</v>
      </c>
    </row>
    <row r="2594" spans="1:11" ht="42" customHeight="1">
      <c r="A2594" s="4" t="s">
        <v>6557</v>
      </c>
      <c r="B2594" s="5" t="s">
        <v>6558</v>
      </c>
      <c r="C2594" s="5" t="s">
        <v>26</v>
      </c>
      <c r="D2594" s="5" t="s">
        <v>27</v>
      </c>
      <c r="E2594" s="5" t="s">
        <v>214</v>
      </c>
      <c r="F2594" s="9">
        <v>17</v>
      </c>
      <c r="G2594" s="9">
        <v>175</v>
      </c>
      <c r="H2594" s="5" t="s">
        <v>21</v>
      </c>
      <c r="I2594" s="5" t="s">
        <v>6559</v>
      </c>
      <c r="J2594" s="12" t="str">
        <f>HYPERLINK("https://www.boe.es/gazeta/dias/1803/03/01/pdfs/GMD-1803-17.pdf#page=7","Abrir facsímil")</f>
        <v>Abrir facsímil</v>
      </c>
      <c r="K2594" s="15" t="s">
        <v>23</v>
      </c>
    </row>
    <row r="2595" spans="1:11" ht="42" customHeight="1">
      <c r="A2595" s="4" t="s">
        <v>6560</v>
      </c>
      <c r="B2595" s="5" t="s">
        <v>6561</v>
      </c>
      <c r="C2595" s="5" t="s">
        <v>40</v>
      </c>
      <c r="D2595" s="5" t="s">
        <v>41</v>
      </c>
      <c r="E2595" s="5" t="s">
        <v>132</v>
      </c>
      <c r="F2595" s="9">
        <v>58</v>
      </c>
      <c r="G2595" s="9">
        <v>639</v>
      </c>
      <c r="H2595" s="5" t="s">
        <v>21</v>
      </c>
      <c r="I2595" s="5" t="s">
        <v>6562</v>
      </c>
      <c r="J2595" s="12" t="str">
        <f>HYPERLINK("https://www.boe.es/gazeta/dias/1803/07/22/pdfs/GMD-1803-58.pdf#page=11","Abrir facsímil")</f>
        <v>Abrir facsímil</v>
      </c>
      <c r="K2595" s="15" t="s">
        <v>23</v>
      </c>
    </row>
    <row r="2596" spans="1:11" ht="42" customHeight="1">
      <c r="A2596" s="4" t="s">
        <v>6563</v>
      </c>
      <c r="B2596" s="5" t="s">
        <v>6564</v>
      </c>
      <c r="C2596" s="5" t="s">
        <v>80</v>
      </c>
      <c r="D2596" s="5" t="s">
        <v>81</v>
      </c>
      <c r="E2596" s="5" t="s">
        <v>501</v>
      </c>
      <c r="F2596" s="9">
        <v>22</v>
      </c>
      <c r="G2596" s="9">
        <v>240</v>
      </c>
      <c r="H2596" s="5" t="s">
        <v>21</v>
      </c>
      <c r="I2596" s="5" t="s">
        <v>6565</v>
      </c>
      <c r="J2596" s="12" t="str">
        <f>HYPERLINK("https://www.boe.es/gazeta/dias/1803/03/18/pdfs/GMD-1803-22.pdf#page=12","Abrir facsímil")</f>
        <v>Abrir facsímil</v>
      </c>
      <c r="K2596" s="15" t="s">
        <v>23</v>
      </c>
    </row>
    <row r="2597" spans="1:11" ht="42" customHeight="1">
      <c r="A2597" s="4" t="s">
        <v>6563</v>
      </c>
      <c r="B2597" s="5" t="s">
        <v>6564</v>
      </c>
      <c r="C2597" s="5" t="s">
        <v>80</v>
      </c>
      <c r="D2597" s="5" t="s">
        <v>81</v>
      </c>
      <c r="E2597" s="5" t="s">
        <v>1915</v>
      </c>
      <c r="F2597" s="9">
        <v>44</v>
      </c>
      <c r="G2597" s="9">
        <v>460</v>
      </c>
      <c r="H2597" s="5" t="s">
        <v>21</v>
      </c>
      <c r="I2597" s="5" t="s">
        <v>6566</v>
      </c>
      <c r="J2597" s="12" t="str">
        <f>HYPERLINK("https://www.boe.es/gazeta/dias/1803/06/03/pdfs/GMD-1803-44.pdf#page=8","Abrir facsímil")</f>
        <v>Abrir facsímil</v>
      </c>
      <c r="K2597" s="15" t="s">
        <v>23</v>
      </c>
    </row>
    <row r="2598" spans="1:11" ht="42" customHeight="1">
      <c r="A2598" s="4" t="s">
        <v>6563</v>
      </c>
      <c r="B2598" s="5" t="s">
        <v>6564</v>
      </c>
      <c r="C2598" s="5" t="s">
        <v>80</v>
      </c>
      <c r="D2598" s="5" t="s">
        <v>81</v>
      </c>
      <c r="E2598" s="5" t="s">
        <v>588</v>
      </c>
      <c r="F2598" s="9">
        <v>63</v>
      </c>
      <c r="G2598" s="9">
        <v>688</v>
      </c>
      <c r="H2598" s="5" t="s">
        <v>21</v>
      </c>
      <c r="I2598" s="5" t="s">
        <v>6567</v>
      </c>
      <c r="J2598" s="12" t="str">
        <f>HYPERLINK("https://www.boe.es/gazeta/dias/1803/08/09/pdfs/GMD-1803-63.pdf#page=8","Abrir facsímil")</f>
        <v>Abrir facsímil</v>
      </c>
      <c r="K2598" s="15" t="s">
        <v>23</v>
      </c>
    </row>
    <row r="2599" spans="1:11" ht="42" customHeight="1">
      <c r="A2599" s="4" t="s">
        <v>6563</v>
      </c>
      <c r="B2599" s="5" t="s">
        <v>6564</v>
      </c>
      <c r="C2599" s="5" t="s">
        <v>51</v>
      </c>
      <c r="D2599" s="5" t="s">
        <v>52</v>
      </c>
      <c r="E2599" s="5" t="s">
        <v>630</v>
      </c>
      <c r="F2599" s="9">
        <v>85</v>
      </c>
      <c r="G2599" s="9">
        <v>920</v>
      </c>
      <c r="H2599" s="5" t="s">
        <v>21</v>
      </c>
      <c r="I2599" s="5" t="s">
        <v>6568</v>
      </c>
      <c r="J2599" s="12" t="str">
        <f>HYPERLINK("https://www.boe.es/gazeta/dias/1803/10/21/pdfs/GMD-1803-85.pdf#page=12","Abrir facsímil")</f>
        <v>Abrir facsímil</v>
      </c>
      <c r="K2599" s="15" t="s">
        <v>23</v>
      </c>
    </row>
    <row r="2600" spans="1:11" ht="42" customHeight="1">
      <c r="A2600" s="4" t="s">
        <v>6569</v>
      </c>
      <c r="B2600" s="5" t="s">
        <v>6569</v>
      </c>
      <c r="C2600" s="5" t="s">
        <v>26</v>
      </c>
      <c r="D2600" s="5" t="s">
        <v>27</v>
      </c>
      <c r="E2600" s="5" t="s">
        <v>71</v>
      </c>
      <c r="F2600" s="9">
        <v>39</v>
      </c>
      <c r="G2600" s="9">
        <v>412</v>
      </c>
      <c r="H2600" s="5" t="s">
        <v>21</v>
      </c>
      <c r="I2600" s="5" t="s">
        <v>6570</v>
      </c>
      <c r="J2600" s="12" t="str">
        <f>HYPERLINK("https://www.boe.es/gazeta/dias/1803/05/17/pdfs/GMD-1803-39.pdf#page=8","Abrir facsímil")</f>
        <v>Abrir facsímil</v>
      </c>
      <c r="K2600" s="15" t="s">
        <v>23</v>
      </c>
    </row>
    <row r="2601" spans="1:11" ht="42" customHeight="1">
      <c r="A2601" s="4" t="s">
        <v>6571</v>
      </c>
      <c r="B2601" s="5" t="s">
        <v>6571</v>
      </c>
      <c r="C2601" s="5" t="s">
        <v>51</v>
      </c>
      <c r="D2601" s="5" t="s">
        <v>52</v>
      </c>
      <c r="E2601" s="5" t="s">
        <v>609</v>
      </c>
      <c r="F2601" s="9">
        <v>57</v>
      </c>
      <c r="G2601" s="9">
        <v>619</v>
      </c>
      <c r="H2601" s="5" t="s">
        <v>21</v>
      </c>
      <c r="I2601" s="5" t="s">
        <v>6572</v>
      </c>
      <c r="J2601" s="12" t="str">
        <f>HYPERLINK("https://www.boe.es/gazeta/dias/1803/07/19/pdfs/GMD-1803-57.pdf#page=7","Abrir facsímil")</f>
        <v>Abrir facsímil</v>
      </c>
      <c r="K2601" s="15" t="s">
        <v>23</v>
      </c>
    </row>
    <row r="2602" spans="1:11" ht="42" customHeight="1">
      <c r="A2602" s="4" t="s">
        <v>6573</v>
      </c>
      <c r="B2602" s="5" t="s">
        <v>6574</v>
      </c>
      <c r="C2602" s="5" t="s">
        <v>18</v>
      </c>
      <c r="D2602" s="5" t="s">
        <v>19</v>
      </c>
      <c r="E2602" s="5" t="s">
        <v>313</v>
      </c>
      <c r="F2602" s="9">
        <v>14</v>
      </c>
      <c r="G2602" s="9">
        <v>142</v>
      </c>
      <c r="H2602" s="5" t="s">
        <v>21</v>
      </c>
      <c r="I2602" s="5" t="s">
        <v>6575</v>
      </c>
      <c r="J2602" s="12" t="str">
        <f>HYPERLINK("https://www.boe.es/gazeta/dias/1803/02/18/pdfs/GMD-1803-14.pdf#page=6","Abrir facsímil")</f>
        <v>Abrir facsímil</v>
      </c>
      <c r="K2602" s="15" t="s">
        <v>23</v>
      </c>
    </row>
    <row r="2603" spans="1:11" ht="42" customHeight="1">
      <c r="A2603" s="4" t="s">
        <v>6576</v>
      </c>
      <c r="B2603" s="5" t="s">
        <v>6576</v>
      </c>
      <c r="C2603" s="5" t="s">
        <v>51</v>
      </c>
      <c r="D2603" s="5" t="s">
        <v>52</v>
      </c>
      <c r="E2603" s="5" t="s">
        <v>256</v>
      </c>
      <c r="F2603" s="9">
        <v>1</v>
      </c>
      <c r="G2603" s="9">
        <v>6</v>
      </c>
      <c r="H2603" s="5" t="s">
        <v>21</v>
      </c>
      <c r="I2603" s="5" t="s">
        <v>6577</v>
      </c>
      <c r="J2603" s="12" t="str">
        <f>HYPERLINK("https://www.boe.es/gazeta/dias/1803/01/04/pdfs/GMD-1803-1.pdf#page=6","Abrir facsímil")</f>
        <v>Abrir facsímil</v>
      </c>
      <c r="K2603" s="15" t="s">
        <v>23</v>
      </c>
    </row>
    <row r="2604" spans="1:11" ht="42" customHeight="1">
      <c r="A2604" s="4" t="s">
        <v>6578</v>
      </c>
      <c r="B2604" s="5" t="s">
        <v>6579</v>
      </c>
      <c r="C2604" s="5" t="s">
        <v>18</v>
      </c>
      <c r="D2604" s="5" t="s">
        <v>19</v>
      </c>
      <c r="E2604" s="5" t="s">
        <v>57</v>
      </c>
      <c r="F2604" s="9">
        <v>51</v>
      </c>
      <c r="G2604" s="9">
        <v>545</v>
      </c>
      <c r="H2604" s="5" t="s">
        <v>21</v>
      </c>
      <c r="I2604" s="5" t="s">
        <v>6580</v>
      </c>
      <c r="J2604" s="12" t="str">
        <f>HYPERLINK("https://www.boe.es/gazeta/dias/1803/06/28/pdfs/GMD-1803-51.pdf#page=1","Abrir facsímil")</f>
        <v>Abrir facsímil</v>
      </c>
      <c r="K2604" s="15" t="s">
        <v>23</v>
      </c>
    </row>
    <row r="2605" spans="1:11" ht="42" customHeight="1">
      <c r="A2605" s="4" t="s">
        <v>6581</v>
      </c>
      <c r="B2605" s="5" t="s">
        <v>6582</v>
      </c>
      <c r="C2605" s="5" t="s">
        <v>26</v>
      </c>
      <c r="D2605" s="5" t="s">
        <v>27</v>
      </c>
      <c r="E2605" s="5" t="s">
        <v>571</v>
      </c>
      <c r="F2605" s="9">
        <v>103</v>
      </c>
      <c r="G2605" s="9">
        <v>1105</v>
      </c>
      <c r="H2605" s="5" t="s">
        <v>21</v>
      </c>
      <c r="I2605" s="5" t="s">
        <v>6583</v>
      </c>
      <c r="J2605" s="12" t="str">
        <f>HYPERLINK("https://www.boe.es/gazeta/dias/1803/12/23/pdfs/GMD-1803-103.pdf#page=5","Abrir facsímil")</f>
        <v>Abrir facsímil</v>
      </c>
      <c r="K2605" s="15" t="s">
        <v>23</v>
      </c>
    </row>
    <row r="2606" spans="1:11" ht="42" customHeight="1">
      <c r="A2606" s="4" t="s">
        <v>6584</v>
      </c>
      <c r="B2606" s="5" t="s">
        <v>6584</v>
      </c>
      <c r="C2606" s="5" t="s">
        <v>80</v>
      </c>
      <c r="D2606" s="5" t="s">
        <v>81</v>
      </c>
      <c r="E2606" s="5" t="s">
        <v>218</v>
      </c>
      <c r="F2606" s="9">
        <v>19</v>
      </c>
      <c r="G2606" s="9">
        <v>196</v>
      </c>
      <c r="H2606" s="5" t="s">
        <v>21</v>
      </c>
      <c r="I2606" s="5" t="s">
        <v>6585</v>
      </c>
      <c r="J2606" s="12" t="str">
        <f>HYPERLINK("https://www.boe.es/gazeta/dias/1803/03/08/pdfs/GMD-1803-19.pdf#page=4","Abrir facsímil")</f>
        <v>Abrir facsímil</v>
      </c>
      <c r="K2606" s="15" t="s">
        <v>23</v>
      </c>
    </row>
    <row r="2607" spans="1:11" ht="42" customHeight="1">
      <c r="A2607" s="4" t="s">
        <v>6586</v>
      </c>
      <c r="B2607" s="5" t="s">
        <v>6587</v>
      </c>
      <c r="C2607" s="5" t="s">
        <v>26</v>
      </c>
      <c r="D2607" s="5" t="s">
        <v>27</v>
      </c>
      <c r="E2607" s="5" t="s">
        <v>199</v>
      </c>
      <c r="F2607" s="9">
        <v>88</v>
      </c>
      <c r="G2607" s="9">
        <v>942</v>
      </c>
      <c r="H2607" s="5" t="s">
        <v>21</v>
      </c>
      <c r="I2607" s="5" t="s">
        <v>6588</v>
      </c>
      <c r="J2607" s="12" t="str">
        <f>HYPERLINK("https://www.boe.es/gazeta/dias/1803/11/01/pdfs/GMD-1803-88.pdf#page=2","Abrir facsímil")</f>
        <v>Abrir facsímil</v>
      </c>
      <c r="K2607" s="15" t="s">
        <v>23</v>
      </c>
    </row>
    <row r="2608" spans="1:11" ht="42" customHeight="1">
      <c r="A2608" s="4" t="s">
        <v>6589</v>
      </c>
      <c r="B2608" s="5" t="s">
        <v>6590</v>
      </c>
      <c r="C2608" s="5" t="s">
        <v>26</v>
      </c>
      <c r="D2608" s="5" t="s">
        <v>27</v>
      </c>
      <c r="E2608" s="5" t="s">
        <v>199</v>
      </c>
      <c r="F2608" s="9">
        <v>88</v>
      </c>
      <c r="G2608" s="9">
        <v>942</v>
      </c>
      <c r="H2608" s="5" t="s">
        <v>21</v>
      </c>
      <c r="I2608" s="5" t="s">
        <v>6591</v>
      </c>
      <c r="J2608" s="12" t="str">
        <f>HYPERLINK("https://www.boe.es/gazeta/dias/1803/11/01/pdfs/GMD-1803-88.pdf#page=2","Abrir facsímil")</f>
        <v>Abrir facsímil</v>
      </c>
      <c r="K2608" s="15" t="s">
        <v>23</v>
      </c>
    </row>
    <row r="2609" spans="1:11" ht="42" customHeight="1">
      <c r="A2609" s="4" t="s">
        <v>6592</v>
      </c>
      <c r="B2609" s="5" t="s">
        <v>6593</v>
      </c>
      <c r="C2609" s="5" t="s">
        <v>51</v>
      </c>
      <c r="D2609" s="5" t="s">
        <v>52</v>
      </c>
      <c r="E2609" s="5" t="s">
        <v>300</v>
      </c>
      <c r="F2609" s="9">
        <v>96</v>
      </c>
      <c r="G2609" s="9">
        <v>1029</v>
      </c>
      <c r="H2609" s="5" t="s">
        <v>21</v>
      </c>
      <c r="I2609" s="5" t="s">
        <v>6594</v>
      </c>
      <c r="J2609" s="12" t="str">
        <f>HYPERLINK("https://www.boe.es/gazeta/dias/1803/11/29/pdfs/GMD-1803-96.pdf#page=5","Abrir facsímil")</f>
        <v>Abrir facsímil</v>
      </c>
      <c r="K2609" s="15" t="s">
        <v>23</v>
      </c>
    </row>
    <row r="2610" spans="1:11" ht="42" customHeight="1">
      <c r="A2610" s="4" t="s">
        <v>6595</v>
      </c>
      <c r="B2610" s="5" t="s">
        <v>6596</v>
      </c>
      <c r="C2610" s="5" t="s">
        <v>40</v>
      </c>
      <c r="D2610" s="5" t="s">
        <v>41</v>
      </c>
      <c r="E2610" s="5" t="s">
        <v>138</v>
      </c>
      <c r="F2610" s="9">
        <v>68</v>
      </c>
      <c r="G2610" s="9">
        <v>739</v>
      </c>
      <c r="H2610" s="5" t="s">
        <v>21</v>
      </c>
      <c r="I2610" s="5" t="s">
        <v>6597</v>
      </c>
      <c r="J2610" s="12" t="str">
        <f>HYPERLINK("https://www.boe.es/gazeta/dias/1803/08/26/pdfs/GMD-1803-68.pdf#page=7","Abrir facsímil")</f>
        <v>Abrir facsímil</v>
      </c>
      <c r="K2610" s="15" t="s">
        <v>23</v>
      </c>
    </row>
    <row r="2611" spans="1:11" ht="42" customHeight="1">
      <c r="A2611" s="4" t="s">
        <v>6598</v>
      </c>
      <c r="B2611" s="5" t="s">
        <v>6598</v>
      </c>
      <c r="C2611" s="5" t="s">
        <v>26</v>
      </c>
      <c r="D2611" s="5" t="s">
        <v>27</v>
      </c>
      <c r="E2611" s="5" t="s">
        <v>128</v>
      </c>
      <c r="F2611" s="9">
        <v>80</v>
      </c>
      <c r="G2611" s="9">
        <v>859</v>
      </c>
      <c r="H2611" s="5" t="s">
        <v>21</v>
      </c>
      <c r="I2611" s="5" t="s">
        <v>6599</v>
      </c>
      <c r="J2611" s="12" t="str">
        <f>HYPERLINK("https://www.boe.es/gazeta/dias/1803/10/04/pdfs/GMD-1803-80.pdf#page=3","Abrir facsímil")</f>
        <v>Abrir facsímil</v>
      </c>
      <c r="K2611" s="15" t="s">
        <v>23</v>
      </c>
    </row>
    <row r="2612" spans="1:11" ht="42" customHeight="1">
      <c r="A2612" s="4" t="s">
        <v>6600</v>
      </c>
      <c r="B2612" s="5" t="s">
        <v>6601</v>
      </c>
      <c r="C2612" s="5" t="s">
        <v>51</v>
      </c>
      <c r="D2612" s="5" t="s">
        <v>52</v>
      </c>
      <c r="E2612" s="5" t="s">
        <v>340</v>
      </c>
      <c r="F2612" s="9">
        <v>55</v>
      </c>
      <c r="G2612" s="9">
        <v>599</v>
      </c>
      <c r="H2612" s="5" t="s">
        <v>21</v>
      </c>
      <c r="I2612" s="5" t="s">
        <v>6602</v>
      </c>
      <c r="J2612" s="12" t="str">
        <f>HYPERLINK("https://www.boe.es/gazeta/dias/1803/07/12/pdfs/GMD-1803-55.pdf#page=7","Abrir facsímil")</f>
        <v>Abrir facsímil</v>
      </c>
      <c r="K2612" s="15" t="s">
        <v>23</v>
      </c>
    </row>
    <row r="2613" spans="1:11" ht="42" customHeight="1">
      <c r="A2613" s="4" t="s">
        <v>6603</v>
      </c>
      <c r="B2613" s="5" t="s">
        <v>6603</v>
      </c>
      <c r="C2613" s="5" t="s">
        <v>40</v>
      </c>
      <c r="D2613" s="5" t="s">
        <v>41</v>
      </c>
      <c r="E2613" s="5" t="s">
        <v>588</v>
      </c>
      <c r="F2613" s="9">
        <v>63</v>
      </c>
      <c r="G2613" s="9">
        <v>681</v>
      </c>
      <c r="H2613" s="5" t="s">
        <v>21</v>
      </c>
      <c r="I2613" s="5" t="s">
        <v>6604</v>
      </c>
      <c r="J2613" s="12" t="str">
        <f>HYPERLINK("https://www.boe.es/gazeta/dias/1803/08/09/pdfs/GMD-1803-63.pdf#page=1","Abrir facsímil")</f>
        <v>Abrir facsímil</v>
      </c>
      <c r="K2613" s="15" t="s">
        <v>23</v>
      </c>
    </row>
    <row r="2614" spans="1:11" ht="42" customHeight="1">
      <c r="A2614" s="4" t="s">
        <v>6605</v>
      </c>
      <c r="B2614" s="5" t="s">
        <v>6606</v>
      </c>
      <c r="C2614" s="5" t="s">
        <v>26</v>
      </c>
      <c r="D2614" s="5" t="s">
        <v>27</v>
      </c>
      <c r="E2614" s="5" t="s">
        <v>132</v>
      </c>
      <c r="F2614" s="9">
        <v>58</v>
      </c>
      <c r="G2614" s="9">
        <v>639</v>
      </c>
      <c r="H2614" s="5" t="s">
        <v>21</v>
      </c>
      <c r="I2614" s="5" t="s">
        <v>6607</v>
      </c>
      <c r="J2614" s="12" t="str">
        <f>HYPERLINK("https://www.boe.es/gazeta/dias/1803/07/22/pdfs/GMD-1803-58.pdf#page=11","Abrir facsímil")</f>
        <v>Abrir facsímil</v>
      </c>
      <c r="K2614" s="15" t="s">
        <v>23</v>
      </c>
    </row>
    <row r="2615" spans="1:11" ht="42" customHeight="1">
      <c r="A2615" s="4" t="s">
        <v>6608</v>
      </c>
      <c r="B2615" s="5" t="s">
        <v>6608</v>
      </c>
      <c r="C2615" s="5" t="s">
        <v>40</v>
      </c>
      <c r="D2615" s="5" t="s">
        <v>41</v>
      </c>
      <c r="E2615" s="5" t="s">
        <v>480</v>
      </c>
      <c r="F2615" s="9">
        <v>87</v>
      </c>
      <c r="G2615" s="9">
        <v>938</v>
      </c>
      <c r="H2615" s="5" t="s">
        <v>21</v>
      </c>
      <c r="I2615" s="5" t="s">
        <v>6609</v>
      </c>
      <c r="J2615" s="12" t="str">
        <f>HYPERLINK("https://www.boe.es/gazeta/dias/1803/10/28/pdfs/GMD-1803-87.pdf#page=6","Abrir facsímil")</f>
        <v>Abrir facsímil</v>
      </c>
      <c r="K2615" s="15" t="s">
        <v>23</v>
      </c>
    </row>
    <row r="2616" spans="1:11" ht="42" customHeight="1">
      <c r="A2616" s="4" t="s">
        <v>6610</v>
      </c>
      <c r="B2616" s="5" t="s">
        <v>6611</v>
      </c>
      <c r="C2616" s="5" t="s">
        <v>40</v>
      </c>
      <c r="D2616" s="5" t="s">
        <v>41</v>
      </c>
      <c r="E2616" s="5" t="s">
        <v>919</v>
      </c>
      <c r="F2616" s="9">
        <v>69</v>
      </c>
      <c r="G2616" s="9">
        <v>747</v>
      </c>
      <c r="H2616" s="5" t="s">
        <v>21</v>
      </c>
      <c r="I2616" s="5" t="s">
        <v>6612</v>
      </c>
      <c r="J2616" s="12" t="str">
        <f>HYPERLINK("https://www.boe.es/gazeta/dias/1803/08/30/pdfs/GMD-1803-69.pdf#page=3","Abrir facsímil")</f>
        <v>Abrir facsímil</v>
      </c>
      <c r="K2616" s="15" t="s">
        <v>23</v>
      </c>
    </row>
    <row r="2617" spans="1:11" ht="42" customHeight="1">
      <c r="A2617" s="4" t="s">
        <v>6613</v>
      </c>
      <c r="B2617" s="5" t="s">
        <v>6613</v>
      </c>
      <c r="C2617" s="5" t="s">
        <v>40</v>
      </c>
      <c r="D2617" s="5" t="s">
        <v>41</v>
      </c>
      <c r="E2617" s="5" t="s">
        <v>303</v>
      </c>
      <c r="F2617" s="9">
        <v>8</v>
      </c>
      <c r="G2617" s="9">
        <v>76</v>
      </c>
      <c r="H2617" s="5" t="s">
        <v>21</v>
      </c>
      <c r="I2617" s="5" t="s">
        <v>6614</v>
      </c>
      <c r="J2617" s="12" t="str">
        <f>HYPERLINK("https://www.boe.es/gazeta/dias/1803/01/28/pdfs/GMD-1803-8.pdf#page=4","Abrir facsímil")</f>
        <v>Abrir facsímil</v>
      </c>
      <c r="K2617" s="15" t="s">
        <v>23</v>
      </c>
    </row>
    <row r="2618" spans="1:11" ht="42" customHeight="1">
      <c r="A2618" s="4" t="s">
        <v>6615</v>
      </c>
      <c r="B2618" s="5" t="s">
        <v>6616</v>
      </c>
      <c r="C2618" s="5" t="s">
        <v>40</v>
      </c>
      <c r="D2618" s="5" t="s">
        <v>41</v>
      </c>
      <c r="E2618" s="5" t="s">
        <v>657</v>
      </c>
      <c r="F2618" s="9">
        <v>24</v>
      </c>
      <c r="G2618" s="9">
        <v>252</v>
      </c>
      <c r="H2618" s="5" t="s">
        <v>21</v>
      </c>
      <c r="I2618" s="5" t="s">
        <v>6617</v>
      </c>
      <c r="J2618" s="12" t="str">
        <f>HYPERLINK("https://www.boe.es/gazeta/dias/1803/03/25/pdfs/GMD-1803-24.pdf#page=4","Abrir facsímil")</f>
        <v>Abrir facsímil</v>
      </c>
      <c r="K2618" s="15" t="s">
        <v>23</v>
      </c>
    </row>
    <row r="2619" spans="1:11" ht="42" customHeight="1">
      <c r="A2619" s="4" t="s">
        <v>6618</v>
      </c>
      <c r="B2619" s="5" t="s">
        <v>6619</v>
      </c>
      <c r="C2619" s="5" t="s">
        <v>26</v>
      </c>
      <c r="D2619" s="5" t="s">
        <v>27</v>
      </c>
      <c r="E2619" s="5" t="s">
        <v>68</v>
      </c>
      <c r="F2619" s="9">
        <v>23</v>
      </c>
      <c r="G2619" s="9">
        <v>246</v>
      </c>
      <c r="H2619" s="5" t="s">
        <v>21</v>
      </c>
      <c r="I2619" s="5" t="s">
        <v>6620</v>
      </c>
      <c r="J2619" s="12" t="str">
        <f>HYPERLINK("https://www.boe.es/gazeta/dias/1803/03/22/pdfs/GMD-1803-23.pdf#page=6","Abrir facsímil")</f>
        <v>Abrir facsímil</v>
      </c>
      <c r="K2619" s="15" t="s">
        <v>23</v>
      </c>
    </row>
    <row r="2620" spans="1:11" ht="42" customHeight="1">
      <c r="A2620" s="4" t="s">
        <v>6618</v>
      </c>
      <c r="B2620" s="5" t="s">
        <v>6619</v>
      </c>
      <c r="C2620" s="5" t="s">
        <v>26</v>
      </c>
      <c r="D2620" s="5" t="s">
        <v>27</v>
      </c>
      <c r="E2620" s="5" t="s">
        <v>203</v>
      </c>
      <c r="F2620" s="9">
        <v>32</v>
      </c>
      <c r="G2620" s="9">
        <v>336</v>
      </c>
      <c r="H2620" s="5" t="s">
        <v>21</v>
      </c>
      <c r="I2620" s="5" t="s">
        <v>6621</v>
      </c>
      <c r="J2620" s="12" t="str">
        <f>HYPERLINK("https://www.boe.es/gazeta/dias/1803/04/22/pdfs/GMD-1803-32.pdf#page=8","Abrir facsímil")</f>
        <v>Abrir facsímil</v>
      </c>
      <c r="K2620" s="15" t="s">
        <v>23</v>
      </c>
    </row>
    <row r="2621" spans="1:11" ht="42" customHeight="1">
      <c r="A2621" s="4" t="s">
        <v>6622</v>
      </c>
      <c r="B2621" s="5" t="s">
        <v>6623</v>
      </c>
      <c r="C2621" s="5" t="s">
        <v>40</v>
      </c>
      <c r="D2621" s="5" t="s">
        <v>41</v>
      </c>
      <c r="E2621" s="5" t="s">
        <v>231</v>
      </c>
      <c r="F2621" s="9">
        <v>26</v>
      </c>
      <c r="G2621" s="9">
        <v>273</v>
      </c>
      <c r="H2621" s="5" t="s">
        <v>21</v>
      </c>
      <c r="I2621" s="5" t="s">
        <v>6624</v>
      </c>
      <c r="J2621" s="12" t="str">
        <f>HYPERLINK("https://www.boe.es/gazeta/dias/1803/04/01/pdfs/GMD-1803-26.pdf#page=1","Abrir facsímil")</f>
        <v>Abrir facsímil</v>
      </c>
      <c r="K2621" s="15" t="s">
        <v>23</v>
      </c>
    </row>
    <row r="2622" spans="1:11" ht="42" customHeight="1">
      <c r="A2622" s="4" t="s">
        <v>6625</v>
      </c>
      <c r="B2622" s="5" t="s">
        <v>6626</v>
      </c>
      <c r="C2622" s="5" t="s">
        <v>26</v>
      </c>
      <c r="D2622" s="5" t="s">
        <v>27</v>
      </c>
      <c r="E2622" s="5" t="s">
        <v>191</v>
      </c>
      <c r="F2622" s="9">
        <v>34</v>
      </c>
      <c r="G2622" s="9">
        <v>358</v>
      </c>
      <c r="H2622" s="5" t="s">
        <v>21</v>
      </c>
      <c r="I2622" s="5" t="s">
        <v>6627</v>
      </c>
      <c r="J2622" s="12" t="str">
        <f>HYPERLINK("https://www.boe.es/gazeta/dias/1803/04/29/pdfs/GMD-1803-34.pdf#page=6","Abrir facsímil")</f>
        <v>Abrir facsímil</v>
      </c>
      <c r="K2622" s="15" t="s">
        <v>23</v>
      </c>
    </row>
    <row r="2623" spans="1:11" ht="42" customHeight="1">
      <c r="A2623" s="4" t="s">
        <v>6628</v>
      </c>
      <c r="B2623" s="5" t="s">
        <v>6629</v>
      </c>
      <c r="C2623" s="5" t="s">
        <v>40</v>
      </c>
      <c r="D2623" s="5" t="s">
        <v>41</v>
      </c>
      <c r="E2623" s="5" t="s">
        <v>160</v>
      </c>
      <c r="F2623" s="9">
        <v>81</v>
      </c>
      <c r="G2623" s="9">
        <v>866</v>
      </c>
      <c r="H2623" s="5" t="s">
        <v>21</v>
      </c>
      <c r="I2623" s="5" t="s">
        <v>6630</v>
      </c>
      <c r="J2623" s="12" t="str">
        <f>HYPERLINK("https://www.boe.es/gazeta/dias/1803/10/07/pdfs/GMD-1803-81.pdf#page=2","Abrir facsímil")</f>
        <v>Abrir facsímil</v>
      </c>
      <c r="K2623" s="15" t="s">
        <v>23</v>
      </c>
    </row>
    <row r="2624" spans="1:11" ht="42" customHeight="1">
      <c r="A2624" s="4" t="s">
        <v>6631</v>
      </c>
      <c r="B2624" s="5" t="s">
        <v>6631</v>
      </c>
      <c r="C2624" s="5" t="s">
        <v>40</v>
      </c>
      <c r="D2624" s="5" t="s">
        <v>41</v>
      </c>
      <c r="E2624" s="5" t="s">
        <v>1279</v>
      </c>
      <c r="F2624" s="9">
        <v>3</v>
      </c>
      <c r="G2624" s="9">
        <v>21</v>
      </c>
      <c r="H2624" s="5" t="s">
        <v>21</v>
      </c>
      <c r="I2624" s="5" t="s">
        <v>6632</v>
      </c>
      <c r="J2624" s="12" t="str">
        <f>HYPERLINK("https://www.boe.es/gazeta/dias/1803/01/11/pdfs/GMD-1803-3.pdf#page=1","Abrir facsímil")</f>
        <v>Abrir facsímil</v>
      </c>
      <c r="K2624" s="15" t="s">
        <v>23</v>
      </c>
    </row>
    <row r="2625" spans="1:11" ht="42" customHeight="1">
      <c r="A2625" s="4" t="s">
        <v>6633</v>
      </c>
      <c r="B2625" s="5" t="s">
        <v>6633</v>
      </c>
      <c r="C2625" s="5" t="s">
        <v>40</v>
      </c>
      <c r="D2625" s="5" t="s">
        <v>41</v>
      </c>
      <c r="E2625" s="5" t="s">
        <v>32</v>
      </c>
      <c r="F2625" s="9">
        <v>74</v>
      </c>
      <c r="G2625" s="9">
        <v>797</v>
      </c>
      <c r="H2625" s="5" t="s">
        <v>21</v>
      </c>
      <c r="I2625" s="5" t="s">
        <v>6634</v>
      </c>
      <c r="J2625" s="12" t="str">
        <f>HYPERLINK("https://www.boe.es/gazeta/dias/1803/09/13/pdfs/GMD-1803-74.pdf#page=1","Abrir facsímil")</f>
        <v>Abrir facsímil</v>
      </c>
      <c r="K2625" s="15" t="s">
        <v>23</v>
      </c>
    </row>
    <row r="2626" spans="1:11" ht="42" customHeight="1">
      <c r="A2626" s="4" t="s">
        <v>6635</v>
      </c>
      <c r="B2626" s="5" t="s">
        <v>6636</v>
      </c>
      <c r="C2626" s="5" t="s">
        <v>80</v>
      </c>
      <c r="D2626" s="5" t="s">
        <v>81</v>
      </c>
      <c r="E2626" s="5" t="s">
        <v>20</v>
      </c>
      <c r="F2626" s="9">
        <v>97</v>
      </c>
      <c r="G2626" s="9">
        <v>1038</v>
      </c>
      <c r="H2626" s="5" t="s">
        <v>21</v>
      </c>
      <c r="I2626" s="5" t="s">
        <v>6637</v>
      </c>
      <c r="J2626" s="12" t="str">
        <f>HYPERLINK("https://www.boe.es/gazeta/dias/1803/12/02/pdfs/GMD-1803-97.pdf#page=2","Abrir facsímil")</f>
        <v>Abrir facsímil</v>
      </c>
      <c r="K2626" s="15" t="s">
        <v>23</v>
      </c>
    </row>
    <row r="2627" spans="1:11" ht="42" customHeight="1">
      <c r="A2627" s="4" t="s">
        <v>6638</v>
      </c>
      <c r="B2627" s="5" t="s">
        <v>6638</v>
      </c>
      <c r="C2627" s="5" t="s">
        <v>40</v>
      </c>
      <c r="D2627" s="5" t="s">
        <v>41</v>
      </c>
      <c r="E2627" s="5" t="s">
        <v>882</v>
      </c>
      <c r="F2627" s="9">
        <v>60</v>
      </c>
      <c r="G2627" s="9">
        <v>649</v>
      </c>
      <c r="H2627" s="5" t="s">
        <v>21</v>
      </c>
      <c r="I2627" s="5" t="s">
        <v>6639</v>
      </c>
      <c r="J2627" s="12" t="str">
        <f>HYPERLINK("https://www.boe.es/gazeta/dias/1803/07/29/pdfs/GMD-1803-60.pdf#page=1","Abrir facsímil")</f>
        <v>Abrir facsímil</v>
      </c>
      <c r="K2627" s="15" t="s">
        <v>23</v>
      </c>
    </row>
    <row r="2628" spans="1:11" ht="42" customHeight="1">
      <c r="A2628" s="4" t="s">
        <v>6640</v>
      </c>
      <c r="B2628" s="5" t="s">
        <v>6640</v>
      </c>
      <c r="C2628" s="5" t="s">
        <v>40</v>
      </c>
      <c r="D2628" s="5" t="s">
        <v>41</v>
      </c>
      <c r="E2628" s="5" t="s">
        <v>407</v>
      </c>
      <c r="F2628" s="9">
        <v>82</v>
      </c>
      <c r="G2628" s="9">
        <v>878</v>
      </c>
      <c r="H2628" s="5" t="s">
        <v>21</v>
      </c>
      <c r="I2628" s="5" t="s">
        <v>6641</v>
      </c>
      <c r="J2628" s="12" t="str">
        <f>HYPERLINK("https://www.boe.es/gazeta/dias/1803/10/11/pdfs/GMD-1803-82.pdf#page=2","Abrir facsímil")</f>
        <v>Abrir facsímil</v>
      </c>
      <c r="K2628" s="15" t="s">
        <v>23</v>
      </c>
    </row>
    <row r="2629" spans="1:11" ht="42" customHeight="1">
      <c r="A2629" s="4" t="s">
        <v>6642</v>
      </c>
      <c r="B2629" s="5" t="s">
        <v>6642</v>
      </c>
      <c r="C2629" s="5" t="s">
        <v>40</v>
      </c>
      <c r="D2629" s="5" t="s">
        <v>41</v>
      </c>
      <c r="E2629" s="5" t="s">
        <v>967</v>
      </c>
      <c r="F2629" s="9">
        <v>35</v>
      </c>
      <c r="G2629" s="9">
        <v>362</v>
      </c>
      <c r="H2629" s="5" t="s">
        <v>21</v>
      </c>
      <c r="I2629" s="5" t="s">
        <v>6643</v>
      </c>
      <c r="J2629" s="12" t="str">
        <f>HYPERLINK("https://www.boe.es/gazeta/dias/1803/05/03/pdfs/GMD-1803-35.pdf#page=2","Abrir facsímil")</f>
        <v>Abrir facsímil</v>
      </c>
      <c r="K2629" s="15" t="s">
        <v>23</v>
      </c>
    </row>
    <row r="2630" spans="1:11" ht="42" customHeight="1">
      <c r="A2630" s="4" t="s">
        <v>6644</v>
      </c>
      <c r="B2630" s="5" t="s">
        <v>6645</v>
      </c>
      <c r="C2630" s="5" t="s">
        <v>40</v>
      </c>
      <c r="D2630" s="5" t="s">
        <v>41</v>
      </c>
      <c r="E2630" s="5" t="s">
        <v>389</v>
      </c>
      <c r="F2630" s="9">
        <v>41</v>
      </c>
      <c r="G2630" s="9">
        <v>425</v>
      </c>
      <c r="H2630" s="5" t="s">
        <v>21</v>
      </c>
      <c r="I2630" s="5" t="s">
        <v>6646</v>
      </c>
      <c r="J2630" s="12" t="str">
        <f>HYPERLINK("https://www.boe.es/gazeta/dias/1803/05/24/pdfs/GMD-1803-41.pdf#page=1","Abrir facsímil")</f>
        <v>Abrir facsímil</v>
      </c>
      <c r="K2630" s="15" t="s">
        <v>23</v>
      </c>
    </row>
    <row r="2631" spans="1:11" ht="42" customHeight="1">
      <c r="A2631" s="4" t="s">
        <v>6644</v>
      </c>
      <c r="B2631" s="5" t="s">
        <v>6645</v>
      </c>
      <c r="C2631" s="5" t="s">
        <v>40</v>
      </c>
      <c r="D2631" s="5" t="s">
        <v>41</v>
      </c>
      <c r="E2631" s="5" t="s">
        <v>138</v>
      </c>
      <c r="F2631" s="9">
        <v>68</v>
      </c>
      <c r="G2631" s="9">
        <v>734</v>
      </c>
      <c r="H2631" s="5" t="s">
        <v>21</v>
      </c>
      <c r="I2631" s="5" t="s">
        <v>6647</v>
      </c>
      <c r="J2631" s="12" t="str">
        <f>HYPERLINK("https://www.boe.es/gazeta/dias/1803/08/26/pdfs/GMD-1803-68.pdf#page=2","Abrir facsímil")</f>
        <v>Abrir facsímil</v>
      </c>
      <c r="K2631" s="15" t="s">
        <v>23</v>
      </c>
    </row>
    <row r="2632" spans="1:11" ht="42" customHeight="1">
      <c r="A2632" s="4" t="s">
        <v>6644</v>
      </c>
      <c r="B2632" s="5" t="s">
        <v>6645</v>
      </c>
      <c r="C2632" s="5" t="s">
        <v>40</v>
      </c>
      <c r="D2632" s="5" t="s">
        <v>41</v>
      </c>
      <c r="E2632" s="5" t="s">
        <v>263</v>
      </c>
      <c r="F2632" s="9">
        <v>75</v>
      </c>
      <c r="G2632" s="9">
        <v>805</v>
      </c>
      <c r="H2632" s="5" t="s">
        <v>21</v>
      </c>
      <c r="I2632" s="5" t="s">
        <v>6648</v>
      </c>
      <c r="J2632" s="12" t="str">
        <f>HYPERLINK("https://www.boe.es/gazeta/dias/1803/09/16/pdfs/GMD-1803-75.pdf#page=1","Abrir facsímil")</f>
        <v>Abrir facsímil</v>
      </c>
      <c r="K2632" s="15" t="s">
        <v>23</v>
      </c>
    </row>
    <row r="2633" spans="1:11" ht="42" customHeight="1">
      <c r="A2633" s="4" t="s">
        <v>6649</v>
      </c>
      <c r="B2633" s="5" t="s">
        <v>6650</v>
      </c>
      <c r="C2633" s="5" t="s">
        <v>80</v>
      </c>
      <c r="D2633" s="5" t="s">
        <v>81</v>
      </c>
      <c r="E2633" s="5" t="s">
        <v>609</v>
      </c>
      <c r="F2633" s="9">
        <v>57</v>
      </c>
      <c r="G2633" s="9">
        <v>613</v>
      </c>
      <c r="H2633" s="5" t="s">
        <v>21</v>
      </c>
      <c r="I2633" s="5" t="s">
        <v>6651</v>
      </c>
      <c r="J2633" s="12" t="str">
        <f>HYPERLINK("https://www.boe.es/gazeta/dias/1803/07/19/pdfs/GMD-1803-57.pdf#page=1","Abrir facsímil")</f>
        <v>Abrir facsímil</v>
      </c>
      <c r="K2633" s="15" t="s">
        <v>23</v>
      </c>
    </row>
    <row r="2634" spans="1:11" ht="42" customHeight="1">
      <c r="A2634" s="4" t="s">
        <v>6652</v>
      </c>
      <c r="B2634" s="5" t="s">
        <v>6653</v>
      </c>
      <c r="C2634" s="5" t="s">
        <v>40</v>
      </c>
      <c r="D2634" s="5" t="s">
        <v>41</v>
      </c>
      <c r="E2634" s="5" t="s">
        <v>477</v>
      </c>
      <c r="F2634" s="9">
        <v>48</v>
      </c>
      <c r="G2634" s="9">
        <v>501</v>
      </c>
      <c r="H2634" s="5" t="s">
        <v>21</v>
      </c>
      <c r="I2634" s="5" t="s">
        <v>6654</v>
      </c>
      <c r="J2634" s="12" t="str">
        <f>HYPERLINK("https://www.boe.es/gazeta/dias/1803/06/17/pdfs/GMD-1803-48.pdf#page=1","Abrir facsímil")</f>
        <v>Abrir facsímil</v>
      </c>
      <c r="K2634" s="15" t="s">
        <v>23</v>
      </c>
    </row>
    <row r="2635" spans="1:11" ht="42" customHeight="1">
      <c r="A2635" s="4" t="s">
        <v>6655</v>
      </c>
      <c r="B2635" s="5" t="s">
        <v>6656</v>
      </c>
      <c r="C2635" s="5" t="s">
        <v>26</v>
      </c>
      <c r="D2635" s="5" t="s">
        <v>27</v>
      </c>
      <c r="E2635" s="5" t="s">
        <v>361</v>
      </c>
      <c r="F2635" s="9">
        <v>62</v>
      </c>
      <c r="G2635" s="9">
        <v>676</v>
      </c>
      <c r="H2635" s="5" t="s">
        <v>21</v>
      </c>
      <c r="I2635" s="5" t="s">
        <v>6657</v>
      </c>
      <c r="J2635" s="12" t="str">
        <f>HYPERLINK("https://www.boe.es/gazeta/dias/1803/08/05/pdfs/GMD-1803-62.pdf#page=8","Abrir facsímil")</f>
        <v>Abrir facsímil</v>
      </c>
      <c r="K2635" s="15" t="s">
        <v>23</v>
      </c>
    </row>
    <row r="2636" spans="1:11" ht="42" customHeight="1">
      <c r="A2636" s="4" t="s">
        <v>6658</v>
      </c>
      <c r="B2636" s="5" t="s">
        <v>6659</v>
      </c>
      <c r="C2636" s="5" t="s">
        <v>26</v>
      </c>
      <c r="D2636" s="5" t="s">
        <v>27</v>
      </c>
      <c r="E2636" s="5" t="s">
        <v>148</v>
      </c>
      <c r="F2636" s="9">
        <v>15</v>
      </c>
      <c r="G2636" s="9">
        <v>157</v>
      </c>
      <c r="H2636" s="5" t="s">
        <v>21</v>
      </c>
      <c r="I2636" s="5" t="s">
        <v>6660</v>
      </c>
      <c r="J2636" s="12" t="str">
        <f>HYPERLINK("https://www.boe.es/gazeta/dias/1803/02/22/pdfs/GMD-1803-15.pdf#page=9","Abrir facsímil")</f>
        <v>Abrir facsímil</v>
      </c>
      <c r="K2636" s="15" t="s">
        <v>23</v>
      </c>
    </row>
    <row r="2637" spans="1:11" ht="42" customHeight="1">
      <c r="A2637" s="4" t="s">
        <v>6661</v>
      </c>
      <c r="B2637" s="5" t="s">
        <v>6662</v>
      </c>
      <c r="C2637" s="5" t="s">
        <v>51</v>
      </c>
      <c r="D2637" s="5" t="s">
        <v>52</v>
      </c>
      <c r="E2637" s="5" t="s">
        <v>278</v>
      </c>
      <c r="F2637" s="9">
        <v>46</v>
      </c>
      <c r="G2637" s="9">
        <v>485</v>
      </c>
      <c r="H2637" s="5" t="s">
        <v>21</v>
      </c>
      <c r="I2637" s="5" t="s">
        <v>6663</v>
      </c>
      <c r="J2637" s="12" t="str">
        <f>HYPERLINK("https://www.boe.es/gazeta/dias/1803/06/10/pdfs/GMD-1803-46.pdf#page=9","Abrir facsímil")</f>
        <v>Abrir facsímil</v>
      </c>
      <c r="K2637" s="15" t="s">
        <v>23</v>
      </c>
    </row>
    <row r="2638" spans="1:11" ht="42" customHeight="1">
      <c r="A2638" s="4" t="s">
        <v>6664</v>
      </c>
      <c r="B2638" s="5" t="s">
        <v>6665</v>
      </c>
      <c r="C2638" s="5" t="s">
        <v>26</v>
      </c>
      <c r="D2638" s="5" t="s">
        <v>27</v>
      </c>
      <c r="E2638" s="5" t="s">
        <v>83</v>
      </c>
      <c r="F2638" s="9">
        <v>28</v>
      </c>
      <c r="G2638" s="9">
        <v>303</v>
      </c>
      <c r="H2638" s="5" t="s">
        <v>21</v>
      </c>
      <c r="I2638" s="5" t="s">
        <v>6666</v>
      </c>
      <c r="J2638" s="12" t="str">
        <f>HYPERLINK("https://www.boe.es/gazeta/dias/1803/04/08/pdfs/GMD-1803-28.pdf#page=7","Abrir facsímil")</f>
        <v>Abrir facsímil</v>
      </c>
      <c r="K2638" s="15" t="s">
        <v>23</v>
      </c>
    </row>
    <row r="2639" spans="1:11" ht="42" customHeight="1">
      <c r="A2639" s="4" t="s">
        <v>6667</v>
      </c>
      <c r="B2639" s="5" t="s">
        <v>6668</v>
      </c>
      <c r="C2639" s="5" t="s">
        <v>18</v>
      </c>
      <c r="D2639" s="5" t="s">
        <v>19</v>
      </c>
      <c r="E2639" s="5" t="s">
        <v>109</v>
      </c>
      <c r="F2639" s="9">
        <v>102</v>
      </c>
      <c r="G2639" s="9">
        <v>1097</v>
      </c>
      <c r="H2639" s="5" t="s">
        <v>21</v>
      </c>
      <c r="I2639" s="5" t="s">
        <v>6669</v>
      </c>
      <c r="J2639" s="12" t="str">
        <f>HYPERLINK("https://www.boe.es/gazeta/dias/1803/12/20/pdfs/GMD-1803-102.pdf#page=9","Abrir facsímil")</f>
        <v>Abrir facsímil</v>
      </c>
      <c r="K2639" s="15" t="s">
        <v>23</v>
      </c>
    </row>
    <row r="2640" spans="1:11" ht="42" customHeight="1">
      <c r="A2640" s="4" t="s">
        <v>6670</v>
      </c>
      <c r="B2640" s="5" t="s">
        <v>6671</v>
      </c>
      <c r="C2640" s="5" t="s">
        <v>51</v>
      </c>
      <c r="D2640" s="5" t="s">
        <v>52</v>
      </c>
      <c r="E2640" s="5" t="s">
        <v>606</v>
      </c>
      <c r="F2640" s="9">
        <v>47</v>
      </c>
      <c r="G2640" s="9">
        <v>497</v>
      </c>
      <c r="H2640" s="5" t="s">
        <v>21</v>
      </c>
      <c r="I2640" s="5" t="s">
        <v>6672</v>
      </c>
      <c r="J2640" s="12" t="str">
        <f>HYPERLINK("https://www.boe.es/gazeta/dias/1803/06/14/pdfs/GMD-1803-47.pdf#page=9","Abrir facsímil")</f>
        <v>Abrir facsímil</v>
      </c>
      <c r="K2640" s="15" t="s">
        <v>23</v>
      </c>
    </row>
    <row r="2641" spans="1:11" ht="42" customHeight="1">
      <c r="A2641" s="4" t="s">
        <v>6673</v>
      </c>
      <c r="B2641" s="5" t="s">
        <v>6674</v>
      </c>
      <c r="C2641" s="5" t="s">
        <v>26</v>
      </c>
      <c r="D2641" s="5" t="s">
        <v>27</v>
      </c>
      <c r="E2641" s="5" t="s">
        <v>199</v>
      </c>
      <c r="F2641" s="9">
        <v>88</v>
      </c>
      <c r="G2641" s="9">
        <v>947</v>
      </c>
      <c r="H2641" s="5" t="s">
        <v>21</v>
      </c>
      <c r="I2641" s="5" t="s">
        <v>6675</v>
      </c>
      <c r="J2641" s="12" t="str">
        <f>HYPERLINK("https://www.boe.es/gazeta/dias/1803/11/01/pdfs/GMD-1803-88.pdf#page=7","Abrir facsímil")</f>
        <v>Abrir facsímil</v>
      </c>
      <c r="K2641" s="15" t="s">
        <v>23</v>
      </c>
    </row>
    <row r="2642" spans="1:11" ht="42" customHeight="1">
      <c r="A2642" s="4" t="s">
        <v>6676</v>
      </c>
      <c r="B2642" s="5" t="s">
        <v>6677</v>
      </c>
      <c r="C2642" s="5" t="s">
        <v>18</v>
      </c>
      <c r="D2642" s="5" t="s">
        <v>19</v>
      </c>
      <c r="E2642" s="5" t="s">
        <v>174</v>
      </c>
      <c r="F2642" s="9">
        <v>21</v>
      </c>
      <c r="G2642" s="9">
        <v>223</v>
      </c>
      <c r="H2642" s="5" t="s">
        <v>21</v>
      </c>
      <c r="I2642" s="5" t="s">
        <v>6678</v>
      </c>
      <c r="J2642" s="12" t="str">
        <f>HYPERLINK("https://www.boe.es/gazeta/dias/1803/03/15/pdfs/GMD-1803-21.pdf#page=7","Abrir facsímil")</f>
        <v>Abrir facsímil</v>
      </c>
      <c r="K2642" s="15" t="s">
        <v>23</v>
      </c>
    </row>
    <row r="2643" spans="1:11" ht="42" customHeight="1">
      <c r="A2643" s="4" t="s">
        <v>6679</v>
      </c>
      <c r="B2643" s="5" t="s">
        <v>6679</v>
      </c>
      <c r="C2643" s="5" t="s">
        <v>51</v>
      </c>
      <c r="D2643" s="5" t="s">
        <v>52</v>
      </c>
      <c r="E2643" s="5" t="s">
        <v>417</v>
      </c>
      <c r="F2643" s="9">
        <v>72</v>
      </c>
      <c r="G2643" s="9">
        <v>788</v>
      </c>
      <c r="H2643" s="5" t="s">
        <v>21</v>
      </c>
      <c r="I2643" s="5" t="s">
        <v>6680</v>
      </c>
      <c r="J2643" s="12" t="str">
        <f>HYPERLINK("https://www.boe.es/gazeta/dias/1803/09/09/pdfs/GMD-1803-72.pdf#page=8","Abrir facsímil")</f>
        <v>Abrir facsímil</v>
      </c>
      <c r="K2643" s="15" t="s">
        <v>23</v>
      </c>
    </row>
    <row r="2644" spans="1:11" ht="42" customHeight="1">
      <c r="A2644" s="4" t="s">
        <v>6679</v>
      </c>
      <c r="B2644" s="5" t="s">
        <v>6679</v>
      </c>
      <c r="C2644" s="5" t="s">
        <v>26</v>
      </c>
      <c r="D2644" s="5" t="s">
        <v>27</v>
      </c>
      <c r="E2644" s="5" t="s">
        <v>32</v>
      </c>
      <c r="F2644" s="9">
        <v>74</v>
      </c>
      <c r="G2644" s="9">
        <v>802</v>
      </c>
      <c r="H2644" s="5" t="s">
        <v>21</v>
      </c>
      <c r="I2644" s="5" t="s">
        <v>6681</v>
      </c>
      <c r="J2644" s="12" t="str">
        <f>HYPERLINK("https://www.boe.es/gazeta/dias/1803/09/13/pdfs/GMD-1803-74.pdf#page=6","Abrir facsímil")</f>
        <v>Abrir facsímil</v>
      </c>
      <c r="K2644" s="15" t="s">
        <v>23</v>
      </c>
    </row>
    <row r="2645" spans="1:11" ht="42" customHeight="1">
      <c r="A2645" s="4" t="s">
        <v>6679</v>
      </c>
      <c r="B2645" s="5" t="s">
        <v>6679</v>
      </c>
      <c r="C2645" s="5" t="s">
        <v>80</v>
      </c>
      <c r="D2645" s="5" t="s">
        <v>81</v>
      </c>
      <c r="E2645" s="5" t="s">
        <v>496</v>
      </c>
      <c r="F2645" s="9">
        <v>90</v>
      </c>
      <c r="G2645" s="9">
        <v>968</v>
      </c>
      <c r="H2645" s="5" t="s">
        <v>21</v>
      </c>
      <c r="I2645" s="5" t="s">
        <v>6682</v>
      </c>
      <c r="J2645" s="12" t="str">
        <f>HYPERLINK("https://www.boe.es/gazeta/dias/1803/11/08/pdfs/GMD-1803-90.pdf#page=8","Abrir facsímil")</f>
        <v>Abrir facsímil</v>
      </c>
      <c r="K2645" s="15" t="s">
        <v>23</v>
      </c>
    </row>
    <row r="2646" spans="1:11" ht="42" customHeight="1">
      <c r="A2646" s="4" t="s">
        <v>6683</v>
      </c>
      <c r="B2646" s="5" t="s">
        <v>6684</v>
      </c>
      <c r="C2646" s="5" t="s">
        <v>26</v>
      </c>
      <c r="D2646" s="5" t="s">
        <v>27</v>
      </c>
      <c r="E2646" s="5" t="s">
        <v>657</v>
      </c>
      <c r="F2646" s="9">
        <v>24</v>
      </c>
      <c r="G2646" s="9">
        <v>256</v>
      </c>
      <c r="H2646" s="5" t="s">
        <v>21</v>
      </c>
      <c r="I2646" s="5" t="s">
        <v>6685</v>
      </c>
      <c r="J2646" s="12" t="str">
        <f>HYPERLINK("https://www.boe.es/gazeta/dias/1803/03/25/pdfs/GMD-1803-24.pdf#page=8","Abrir facsímil")</f>
        <v>Abrir facsímil</v>
      </c>
      <c r="K2646" s="15" t="s">
        <v>23</v>
      </c>
    </row>
    <row r="2647" spans="1:11" ht="42" customHeight="1">
      <c r="A2647" s="4" t="s">
        <v>6686</v>
      </c>
      <c r="B2647" s="5" t="s">
        <v>6687</v>
      </c>
      <c r="C2647" s="5" t="s">
        <v>51</v>
      </c>
      <c r="D2647" s="5" t="s">
        <v>52</v>
      </c>
      <c r="E2647" s="5" t="s">
        <v>203</v>
      </c>
      <c r="F2647" s="9">
        <v>32</v>
      </c>
      <c r="G2647" s="9">
        <v>335</v>
      </c>
      <c r="H2647" s="5" t="s">
        <v>21</v>
      </c>
      <c r="I2647" s="5" t="s">
        <v>6688</v>
      </c>
      <c r="J2647" s="12" t="str">
        <f>HYPERLINK("https://www.boe.es/gazeta/dias/1803/04/22/pdfs/GMD-1803-32.pdf#page=7","Abrir facsímil")</f>
        <v>Abrir facsímil</v>
      </c>
      <c r="K2647" s="15" t="s">
        <v>23</v>
      </c>
    </row>
    <row r="2648" spans="1:11" ht="42" customHeight="1">
      <c r="A2648" s="4" t="s">
        <v>6689</v>
      </c>
      <c r="B2648" s="5" t="s">
        <v>6690</v>
      </c>
      <c r="C2648" s="5" t="s">
        <v>26</v>
      </c>
      <c r="D2648" s="5" t="s">
        <v>27</v>
      </c>
      <c r="E2648" s="5" t="s">
        <v>395</v>
      </c>
      <c r="F2648" s="9">
        <v>13</v>
      </c>
      <c r="G2648" s="9">
        <v>134</v>
      </c>
      <c r="H2648" s="5" t="s">
        <v>21</v>
      </c>
      <c r="I2648" s="5" t="s">
        <v>6691</v>
      </c>
      <c r="J2648" s="12" t="str">
        <f>HYPERLINK("https://www.boe.es/gazeta/dias/1803/02/15/pdfs/GMD-1803-13.pdf#page=10","Abrir facsímil")</f>
        <v>Abrir facsímil</v>
      </c>
      <c r="K2648" s="15" t="s">
        <v>23</v>
      </c>
    </row>
    <row r="2649" spans="1:11" ht="42" customHeight="1">
      <c r="A2649" s="4" t="s">
        <v>6692</v>
      </c>
      <c r="B2649" s="5" t="s">
        <v>6692</v>
      </c>
      <c r="C2649" s="5" t="s">
        <v>80</v>
      </c>
      <c r="D2649" s="5" t="s">
        <v>81</v>
      </c>
      <c r="E2649" s="5" t="s">
        <v>88</v>
      </c>
      <c r="F2649" s="9">
        <v>18</v>
      </c>
      <c r="G2649" s="9">
        <v>192</v>
      </c>
      <c r="H2649" s="5" t="s">
        <v>21</v>
      </c>
      <c r="I2649" s="5" t="s">
        <v>6693</v>
      </c>
      <c r="J2649" s="12" t="str">
        <f>HYPERLINK("https://www.boe.es/gazeta/dias/1803/03/04/pdfs/GMD-1803-18.pdf#page=12","Abrir facsímil")</f>
        <v>Abrir facsímil</v>
      </c>
      <c r="K2649" s="15" t="s">
        <v>23</v>
      </c>
    </row>
    <row r="2650" spans="1:11" ht="42" customHeight="1">
      <c r="A2650" s="4" t="s">
        <v>6694</v>
      </c>
      <c r="B2650" s="5" t="s">
        <v>6694</v>
      </c>
      <c r="C2650" s="5" t="s">
        <v>40</v>
      </c>
      <c r="D2650" s="5" t="s">
        <v>41</v>
      </c>
      <c r="E2650" s="5" t="s">
        <v>36</v>
      </c>
      <c r="F2650" s="9">
        <v>79</v>
      </c>
      <c r="G2650" s="9">
        <v>854</v>
      </c>
      <c r="H2650" s="5" t="s">
        <v>21</v>
      </c>
      <c r="I2650" s="5" t="s">
        <v>6695</v>
      </c>
      <c r="J2650" s="12" t="str">
        <f>HYPERLINK("https://www.boe.es/gazeta/dias/1803/09/30/pdfs/GMD-1803-79.pdf#page=6","Abrir facsímil")</f>
        <v>Abrir facsímil</v>
      </c>
      <c r="K2650" s="15" t="s">
        <v>23</v>
      </c>
    </row>
    <row r="2651" spans="1:11" ht="42" customHeight="1">
      <c r="A2651" s="4" t="s">
        <v>6696</v>
      </c>
      <c r="B2651" s="5" t="s">
        <v>6696</v>
      </c>
      <c r="C2651" s="5" t="s">
        <v>40</v>
      </c>
      <c r="D2651" s="5" t="s">
        <v>41</v>
      </c>
      <c r="E2651" s="5" t="s">
        <v>321</v>
      </c>
      <c r="F2651" s="9">
        <v>94</v>
      </c>
      <c r="G2651" s="9">
        <v>1008</v>
      </c>
      <c r="H2651" s="5" t="s">
        <v>21</v>
      </c>
      <c r="I2651" s="5" t="s">
        <v>6697</v>
      </c>
      <c r="J2651" s="12" t="str">
        <f>HYPERLINK("https://www.boe.es/gazeta/dias/1803/11/22/pdfs/GMD-1803-94.pdf#page=8","Abrir facsímil")</f>
        <v>Abrir facsímil</v>
      </c>
      <c r="K2651" s="15" t="s">
        <v>23</v>
      </c>
    </row>
    <row r="2652" spans="1:11" ht="42" customHeight="1">
      <c r="A2652" s="4" t="s">
        <v>6698</v>
      </c>
      <c r="B2652" s="5" t="s">
        <v>6698</v>
      </c>
      <c r="C2652" s="5" t="s">
        <v>26</v>
      </c>
      <c r="D2652" s="5" t="s">
        <v>27</v>
      </c>
      <c r="E2652" s="5" t="s">
        <v>328</v>
      </c>
      <c r="F2652" s="9">
        <v>54</v>
      </c>
      <c r="G2652" s="9">
        <v>582</v>
      </c>
      <c r="H2652" s="5" t="s">
        <v>21</v>
      </c>
      <c r="I2652" s="5" t="s">
        <v>6699</v>
      </c>
      <c r="J2652" s="12" t="str">
        <f>HYPERLINK("https://www.boe.es/gazeta/dias/1803/07/08/pdfs/GMD-1803-54.pdf#page=2","Abrir facsímil")</f>
        <v>Abrir facsímil</v>
      </c>
      <c r="K2652" s="15" t="s">
        <v>23</v>
      </c>
    </row>
    <row r="2653" spans="1:11" ht="42" customHeight="1">
      <c r="A2653" s="4" t="s">
        <v>6700</v>
      </c>
      <c r="B2653" s="5" t="s">
        <v>6700</v>
      </c>
      <c r="C2653" s="5" t="s">
        <v>40</v>
      </c>
      <c r="D2653" s="5" t="s">
        <v>41</v>
      </c>
      <c r="E2653" s="5" t="s">
        <v>395</v>
      </c>
      <c r="F2653" s="9">
        <v>13</v>
      </c>
      <c r="G2653" s="9">
        <v>126</v>
      </c>
      <c r="H2653" s="5" t="s">
        <v>21</v>
      </c>
      <c r="I2653" s="5" t="s">
        <v>6701</v>
      </c>
      <c r="J2653" s="12" t="str">
        <f>HYPERLINK("https://www.boe.es/gazeta/dias/1803/02/15/pdfs/GMD-1803-13.pdf#page=2","Abrir facsímil")</f>
        <v>Abrir facsímil</v>
      </c>
      <c r="K2653" s="15" t="s">
        <v>23</v>
      </c>
    </row>
    <row r="2654" spans="1:11" ht="42" customHeight="1">
      <c r="A2654" s="4" t="s">
        <v>6702</v>
      </c>
      <c r="B2654" s="5" t="s">
        <v>6702</v>
      </c>
      <c r="C2654" s="5" t="s">
        <v>18</v>
      </c>
      <c r="D2654" s="5" t="s">
        <v>19</v>
      </c>
      <c r="E2654" s="5" t="s">
        <v>57</v>
      </c>
      <c r="F2654" s="9">
        <v>51</v>
      </c>
      <c r="G2654" s="9">
        <v>545</v>
      </c>
      <c r="H2654" s="5" t="s">
        <v>21</v>
      </c>
      <c r="I2654" s="5" t="s">
        <v>6703</v>
      </c>
      <c r="J2654" s="12" t="str">
        <f>HYPERLINK("https://www.boe.es/gazeta/dias/1803/06/28/pdfs/GMD-1803-51.pdf#page=1","Abrir facsímil")</f>
        <v>Abrir facsímil</v>
      </c>
      <c r="K2654" s="15" t="s">
        <v>23</v>
      </c>
    </row>
    <row r="2655" spans="1:11" ht="42" customHeight="1">
      <c r="A2655" s="4" t="s">
        <v>6700</v>
      </c>
      <c r="B2655" s="5" t="s">
        <v>6700</v>
      </c>
      <c r="C2655" s="5" t="s">
        <v>51</v>
      </c>
      <c r="D2655" s="5" t="s">
        <v>52</v>
      </c>
      <c r="E2655" s="5" t="s">
        <v>4176</v>
      </c>
      <c r="F2655" s="9">
        <v>52</v>
      </c>
      <c r="G2655" s="9">
        <v>558</v>
      </c>
      <c r="H2655" s="5" t="s">
        <v>21</v>
      </c>
      <c r="I2655" s="5" t="s">
        <v>6704</v>
      </c>
      <c r="J2655" s="12" t="str">
        <f>HYPERLINK("https://www.boe.es/gazeta/dias/1803/07/01/pdfs/GMD-1803-52.pdf#page=2","Abrir facsímil")</f>
        <v>Abrir facsímil</v>
      </c>
      <c r="K2655" s="15" t="s">
        <v>23</v>
      </c>
    </row>
    <row r="2656" spans="1:11" ht="42" customHeight="1">
      <c r="A2656" s="4" t="s">
        <v>6700</v>
      </c>
      <c r="B2656" s="5" t="s">
        <v>6700</v>
      </c>
      <c r="C2656" s="5" t="s">
        <v>40</v>
      </c>
      <c r="D2656" s="5" t="s">
        <v>41</v>
      </c>
      <c r="E2656" s="5" t="s">
        <v>64</v>
      </c>
      <c r="F2656" s="9">
        <v>65</v>
      </c>
      <c r="G2656" s="9">
        <v>702</v>
      </c>
      <c r="H2656" s="5" t="s">
        <v>21</v>
      </c>
      <c r="I2656" s="5" t="s">
        <v>6705</v>
      </c>
      <c r="J2656" s="12" t="str">
        <f>HYPERLINK("https://www.boe.es/gazeta/dias/1803/08/16/pdfs/GMD-1803-65.pdf#page=2","Abrir facsímil")</f>
        <v>Abrir facsímil</v>
      </c>
      <c r="K2656" s="15" t="s">
        <v>23</v>
      </c>
    </row>
    <row r="2657" spans="1:11" ht="42" customHeight="1">
      <c r="A2657" s="4" t="s">
        <v>6706</v>
      </c>
      <c r="B2657" s="5" t="s">
        <v>6707</v>
      </c>
      <c r="C2657" s="5" t="s">
        <v>26</v>
      </c>
      <c r="D2657" s="5" t="s">
        <v>27</v>
      </c>
      <c r="E2657" s="5" t="s">
        <v>178</v>
      </c>
      <c r="F2657" s="9">
        <v>36</v>
      </c>
      <c r="G2657" s="9">
        <v>375</v>
      </c>
      <c r="H2657" s="5" t="s">
        <v>21</v>
      </c>
      <c r="I2657" s="5" t="s">
        <v>6708</v>
      </c>
      <c r="J2657" s="12" t="str">
        <f>HYPERLINK("https://www.boe.es/gazeta/dias/1803/05/06/pdfs/GMD-1803-36.pdf#page=7","Abrir facsímil")</f>
        <v>Abrir facsímil</v>
      </c>
      <c r="K2657" s="15" t="s">
        <v>23</v>
      </c>
    </row>
    <row r="2658" spans="1:11" ht="42" customHeight="1">
      <c r="A2658" s="4" t="s">
        <v>6709</v>
      </c>
      <c r="B2658" s="5" t="s">
        <v>6710</v>
      </c>
      <c r="C2658" s="5" t="s">
        <v>26</v>
      </c>
      <c r="D2658" s="5" t="s">
        <v>27</v>
      </c>
      <c r="E2658" s="5" t="s">
        <v>328</v>
      </c>
      <c r="F2658" s="9">
        <v>54</v>
      </c>
      <c r="G2658" s="9">
        <v>590</v>
      </c>
      <c r="H2658" s="5" t="s">
        <v>21</v>
      </c>
      <c r="I2658" s="5" t="s">
        <v>6711</v>
      </c>
      <c r="J2658" s="12" t="str">
        <f>HYPERLINK("https://www.boe.es/gazeta/dias/1803/07/08/pdfs/GMD-1803-54.pdf#page=10","Abrir facsímil")</f>
        <v>Abrir facsímil</v>
      </c>
      <c r="K2658" s="15" t="s">
        <v>23</v>
      </c>
    </row>
    <row r="2659" spans="1:11" ht="42" customHeight="1">
      <c r="A2659" s="4" t="s">
        <v>6712</v>
      </c>
      <c r="B2659" s="5" t="s">
        <v>6713</v>
      </c>
      <c r="C2659" s="5" t="s">
        <v>26</v>
      </c>
      <c r="D2659" s="5" t="s">
        <v>27</v>
      </c>
      <c r="E2659" s="5" t="s">
        <v>289</v>
      </c>
      <c r="F2659" s="9">
        <v>38</v>
      </c>
      <c r="G2659" s="9">
        <v>401</v>
      </c>
      <c r="H2659" s="5" t="s">
        <v>21</v>
      </c>
      <c r="I2659" s="5" t="s">
        <v>6714</v>
      </c>
      <c r="J2659" s="12" t="str">
        <f>HYPERLINK("https://www.boe.es/gazeta/dias/1803/05/13/pdfs/GMD-1803-38.pdf#page=9","Abrir facsímil")</f>
        <v>Abrir facsímil</v>
      </c>
      <c r="K2659" s="15" t="s">
        <v>23</v>
      </c>
    </row>
    <row r="2660" spans="1:11" ht="42" customHeight="1">
      <c r="A2660" s="4" t="s">
        <v>6715</v>
      </c>
      <c r="B2660" s="5" t="s">
        <v>6716</v>
      </c>
      <c r="C2660" s="5" t="s">
        <v>26</v>
      </c>
      <c r="D2660" s="5" t="s">
        <v>27</v>
      </c>
      <c r="E2660" s="5" t="s">
        <v>1915</v>
      </c>
      <c r="F2660" s="9">
        <v>44</v>
      </c>
      <c r="G2660" s="9">
        <v>459</v>
      </c>
      <c r="H2660" s="5" t="s">
        <v>21</v>
      </c>
      <c r="I2660" s="5" t="s">
        <v>6717</v>
      </c>
      <c r="J2660" s="12" t="str">
        <f>HYPERLINK("https://www.boe.es/gazeta/dias/1803/06/03/pdfs/GMD-1803-44.pdf#page=7","Abrir facsímil")</f>
        <v>Abrir facsímil</v>
      </c>
      <c r="K2660" s="15" t="s">
        <v>23</v>
      </c>
    </row>
    <row r="2661" spans="1:11" ht="42" customHeight="1">
      <c r="A2661" s="4" t="s">
        <v>6718</v>
      </c>
      <c r="B2661" s="5" t="s">
        <v>6718</v>
      </c>
      <c r="C2661" s="5" t="s">
        <v>26</v>
      </c>
      <c r="D2661" s="5" t="s">
        <v>27</v>
      </c>
      <c r="E2661" s="5" t="s">
        <v>606</v>
      </c>
      <c r="F2661" s="9">
        <v>47</v>
      </c>
      <c r="G2661" s="9">
        <v>498</v>
      </c>
      <c r="H2661" s="5" t="s">
        <v>21</v>
      </c>
      <c r="I2661" s="5" t="s">
        <v>6719</v>
      </c>
      <c r="J2661" s="12" t="str">
        <f>HYPERLINK("https://www.boe.es/gazeta/dias/1803/06/14/pdfs/GMD-1803-47.pdf#page=10","Abrir facsímil")</f>
        <v>Abrir facsímil</v>
      </c>
      <c r="K2661" s="15" t="s">
        <v>23</v>
      </c>
    </row>
    <row r="2662" spans="1:11" ht="42" customHeight="1">
      <c r="A2662" s="4" t="s">
        <v>6720</v>
      </c>
      <c r="B2662" s="5" t="s">
        <v>6721</v>
      </c>
      <c r="C2662" s="5" t="s">
        <v>26</v>
      </c>
      <c r="D2662" s="5" t="s">
        <v>27</v>
      </c>
      <c r="E2662" s="5" t="s">
        <v>882</v>
      </c>
      <c r="F2662" s="9">
        <v>60</v>
      </c>
      <c r="G2662" s="9">
        <v>657</v>
      </c>
      <c r="H2662" s="5" t="s">
        <v>21</v>
      </c>
      <c r="I2662" s="5" t="s">
        <v>6722</v>
      </c>
      <c r="J2662" s="12" t="str">
        <f>HYPERLINK("https://www.boe.es/gazeta/dias/1803/07/29/pdfs/GMD-1803-60.pdf#page=9","Abrir facsímil")</f>
        <v>Abrir facsímil</v>
      </c>
      <c r="K2662" s="15" t="s">
        <v>23</v>
      </c>
    </row>
    <row r="2663" spans="1:11" ht="42" customHeight="1">
      <c r="A2663" s="4" t="s">
        <v>6720</v>
      </c>
      <c r="B2663" s="5" t="s">
        <v>6721</v>
      </c>
      <c r="C2663" s="5" t="s">
        <v>51</v>
      </c>
      <c r="D2663" s="5" t="s">
        <v>52</v>
      </c>
      <c r="E2663" s="5" t="s">
        <v>523</v>
      </c>
      <c r="F2663" s="9">
        <v>101</v>
      </c>
      <c r="G2663" s="9">
        <v>1086</v>
      </c>
      <c r="H2663" s="5" t="s">
        <v>21</v>
      </c>
      <c r="I2663" s="5" t="s">
        <v>6723</v>
      </c>
      <c r="J2663" s="12" t="str">
        <f>HYPERLINK("https://www.boe.es/gazeta/dias/1803/12/16/pdfs/GMD-1803-101.pdf#page=10","Abrir facsímil")</f>
        <v>Abrir facsímil</v>
      </c>
      <c r="K2663" s="15" t="s">
        <v>23</v>
      </c>
    </row>
    <row r="2664" spans="1:11" ht="42" customHeight="1">
      <c r="A2664" s="4" t="s">
        <v>6724</v>
      </c>
      <c r="B2664" s="5" t="s">
        <v>6725</v>
      </c>
      <c r="C2664" s="5" t="s">
        <v>26</v>
      </c>
      <c r="D2664" s="5" t="s">
        <v>27</v>
      </c>
      <c r="E2664" s="5" t="s">
        <v>88</v>
      </c>
      <c r="F2664" s="9">
        <v>18</v>
      </c>
      <c r="G2664" s="9">
        <v>188</v>
      </c>
      <c r="H2664" s="5" t="s">
        <v>21</v>
      </c>
      <c r="I2664" s="5" t="s">
        <v>6726</v>
      </c>
      <c r="J2664" s="12" t="str">
        <f>HYPERLINK("https://www.boe.es/gazeta/dias/1803/03/04/pdfs/GMD-1803-18.pdf#page=8","Abrir facsímil")</f>
        <v>Abrir facsímil</v>
      </c>
      <c r="K2664" s="15" t="s">
        <v>23</v>
      </c>
    </row>
    <row r="2665" spans="1:11" ht="42" customHeight="1">
      <c r="A2665" s="4" t="s">
        <v>6727</v>
      </c>
      <c r="B2665" s="5" t="s">
        <v>6728</v>
      </c>
      <c r="C2665" s="5" t="s">
        <v>40</v>
      </c>
      <c r="D2665" s="5" t="s">
        <v>41</v>
      </c>
      <c r="E2665" s="5" t="s">
        <v>132</v>
      </c>
      <c r="F2665" s="9">
        <v>58</v>
      </c>
      <c r="G2665" s="9">
        <v>639</v>
      </c>
      <c r="H2665" s="5" t="s">
        <v>21</v>
      </c>
      <c r="I2665" s="5" t="s">
        <v>6729</v>
      </c>
      <c r="J2665" s="12" t="str">
        <f>HYPERLINK("https://www.boe.es/gazeta/dias/1803/07/22/pdfs/GMD-1803-58.pdf#page=11","Abrir facsímil")</f>
        <v>Abrir facsímil</v>
      </c>
      <c r="K2665" s="15" t="s">
        <v>23</v>
      </c>
    </row>
    <row r="2666" spans="1:11" ht="42" customHeight="1">
      <c r="A2666" s="4" t="s">
        <v>6730</v>
      </c>
      <c r="B2666" s="5" t="s">
        <v>6730</v>
      </c>
      <c r="C2666" s="5" t="s">
        <v>40</v>
      </c>
      <c r="D2666" s="5" t="s">
        <v>41</v>
      </c>
      <c r="E2666" s="5" t="s">
        <v>407</v>
      </c>
      <c r="F2666" s="9">
        <v>82</v>
      </c>
      <c r="G2666" s="9">
        <v>883</v>
      </c>
      <c r="H2666" s="5" t="s">
        <v>21</v>
      </c>
      <c r="I2666" s="5" t="s">
        <v>6731</v>
      </c>
      <c r="J2666" s="12" t="str">
        <f>HYPERLINK("https://www.boe.es/gazeta/dias/1803/10/11/pdfs/GMD-1803-82.pdf#page=7","Abrir facsímil")</f>
        <v>Abrir facsímil</v>
      </c>
      <c r="K2666" s="15" t="s">
        <v>23</v>
      </c>
    </row>
    <row r="2667" spans="1:11" ht="42" customHeight="1">
      <c r="A2667" s="4" t="s">
        <v>6732</v>
      </c>
      <c r="B2667" s="5" t="s">
        <v>6733</v>
      </c>
      <c r="C2667" s="5" t="s">
        <v>40</v>
      </c>
      <c r="D2667" s="5" t="s">
        <v>41</v>
      </c>
      <c r="E2667" s="5" t="s">
        <v>373</v>
      </c>
      <c r="F2667" s="9">
        <v>77</v>
      </c>
      <c r="G2667" s="9">
        <v>830</v>
      </c>
      <c r="H2667" s="5" t="s">
        <v>21</v>
      </c>
      <c r="I2667" s="5" t="s">
        <v>6734</v>
      </c>
      <c r="J2667" s="12" t="str">
        <f>HYPERLINK("https://www.boe.es/gazeta/dias/1803/09/23/pdfs/GMD-1803-77.pdf#page=6","Abrir facsímil")</f>
        <v>Abrir facsímil</v>
      </c>
      <c r="K2667" s="15" t="s">
        <v>23</v>
      </c>
    </row>
    <row r="2668" spans="1:11" ht="42" customHeight="1">
      <c r="A2668" s="4" t="s">
        <v>6735</v>
      </c>
      <c r="B2668" s="5" t="s">
        <v>6736</v>
      </c>
      <c r="C2668" s="5" t="s">
        <v>26</v>
      </c>
      <c r="D2668" s="5" t="s">
        <v>27</v>
      </c>
      <c r="E2668" s="5" t="s">
        <v>373</v>
      </c>
      <c r="F2668" s="9">
        <v>77</v>
      </c>
      <c r="G2668" s="9">
        <v>830</v>
      </c>
      <c r="H2668" s="5" t="s">
        <v>21</v>
      </c>
      <c r="I2668" s="5" t="s">
        <v>6737</v>
      </c>
      <c r="J2668" s="12" t="str">
        <f>HYPERLINK("https://www.boe.es/gazeta/dias/1803/09/23/pdfs/GMD-1803-77.pdf#page=6","Abrir facsímil")</f>
        <v>Abrir facsímil</v>
      </c>
      <c r="K2668" s="15" t="s">
        <v>23</v>
      </c>
    </row>
    <row r="2669" spans="1:11" ht="42" customHeight="1">
      <c r="A2669" s="4" t="s">
        <v>6738</v>
      </c>
      <c r="B2669" s="5" t="s">
        <v>6739</v>
      </c>
      <c r="C2669" s="5" t="s">
        <v>26</v>
      </c>
      <c r="D2669" s="5" t="s">
        <v>27</v>
      </c>
      <c r="E2669" s="5" t="s">
        <v>882</v>
      </c>
      <c r="F2669" s="9">
        <v>60</v>
      </c>
      <c r="G2669" s="9">
        <v>657</v>
      </c>
      <c r="H2669" s="5" t="s">
        <v>21</v>
      </c>
      <c r="I2669" s="5" t="s">
        <v>6740</v>
      </c>
      <c r="J2669" s="12" t="str">
        <f>HYPERLINK("https://www.boe.es/gazeta/dias/1803/07/29/pdfs/GMD-1803-60.pdf#page=9","Abrir facsímil")</f>
        <v>Abrir facsímil</v>
      </c>
      <c r="K2669" s="15" t="s">
        <v>23</v>
      </c>
    </row>
    <row r="2670" spans="1:11" ht="42" customHeight="1">
      <c r="A2670" s="4" t="s">
        <v>6741</v>
      </c>
      <c r="B2670" s="5" t="s">
        <v>6742</v>
      </c>
      <c r="C2670" s="5" t="s">
        <v>18</v>
      </c>
      <c r="D2670" s="5" t="s">
        <v>19</v>
      </c>
      <c r="E2670" s="5" t="s">
        <v>373</v>
      </c>
      <c r="F2670" s="9">
        <v>77</v>
      </c>
      <c r="G2670" s="9">
        <v>833</v>
      </c>
      <c r="H2670" s="5" t="s">
        <v>21</v>
      </c>
      <c r="I2670" s="5" t="s">
        <v>6743</v>
      </c>
      <c r="J2670" s="12" t="str">
        <f>HYPERLINK("https://www.boe.es/gazeta/dias/1803/09/23/pdfs/GMD-1803-77.pdf#page=9","Abrir facsímil")</f>
        <v>Abrir facsímil</v>
      </c>
      <c r="K2670" s="15" t="s">
        <v>23</v>
      </c>
    </row>
    <row r="2671" spans="1:11" ht="42" customHeight="1">
      <c r="A2671" s="4" t="s">
        <v>6744</v>
      </c>
      <c r="B2671" s="5" t="s">
        <v>6745</v>
      </c>
      <c r="C2671" s="5" t="s">
        <v>26</v>
      </c>
      <c r="D2671" s="5" t="s">
        <v>27</v>
      </c>
      <c r="E2671" s="5" t="s">
        <v>207</v>
      </c>
      <c r="F2671" s="9">
        <v>27</v>
      </c>
      <c r="G2671" s="9">
        <v>293</v>
      </c>
      <c r="H2671" s="5" t="s">
        <v>21</v>
      </c>
      <c r="I2671" s="5" t="s">
        <v>6746</v>
      </c>
      <c r="J2671" s="12" t="str">
        <f>HYPERLINK("https://www.boe.es/gazeta/dias/1803/04/05/pdfs/GMD-1803-27.pdf#page=9","Abrir facsímil")</f>
        <v>Abrir facsímil</v>
      </c>
      <c r="K2671" s="15" t="s">
        <v>23</v>
      </c>
    </row>
    <row r="2672" spans="1:11" ht="42" customHeight="1">
      <c r="A2672" s="4" t="s">
        <v>6747</v>
      </c>
      <c r="B2672" s="5" t="s">
        <v>6748</v>
      </c>
      <c r="C2672" s="5" t="s">
        <v>40</v>
      </c>
      <c r="D2672" s="5" t="s">
        <v>41</v>
      </c>
      <c r="E2672" s="5" t="s">
        <v>152</v>
      </c>
      <c r="F2672" s="9">
        <v>16</v>
      </c>
      <c r="G2672" s="9">
        <v>164</v>
      </c>
      <c r="H2672" s="5" t="s">
        <v>21</v>
      </c>
      <c r="I2672" s="5" t="s">
        <v>6749</v>
      </c>
      <c r="J2672" s="12" t="str">
        <f>HYPERLINK("https://www.boe.es/gazeta/dias/1803/02/25/pdfs/GMD-1803-16.pdf#page=4","Abrir facsímil")</f>
        <v>Abrir facsímil</v>
      </c>
      <c r="K2672" s="15" t="s">
        <v>23</v>
      </c>
    </row>
    <row r="2673" spans="1:11" ht="42" customHeight="1">
      <c r="A2673" s="4" t="s">
        <v>6750</v>
      </c>
      <c r="B2673" s="5" t="s">
        <v>6751</v>
      </c>
      <c r="C2673" s="5" t="s">
        <v>46</v>
      </c>
      <c r="D2673" s="5" t="s">
        <v>19</v>
      </c>
      <c r="E2673" s="5" t="s">
        <v>207</v>
      </c>
      <c r="F2673" s="9">
        <v>27</v>
      </c>
      <c r="G2673" s="9">
        <v>296</v>
      </c>
      <c r="H2673" s="5" t="s">
        <v>21</v>
      </c>
      <c r="I2673" s="5" t="s">
        <v>6752</v>
      </c>
      <c r="J2673" s="12" t="str">
        <f>HYPERLINK("https://www.boe.es/gazeta/dias/1803/04/05/pdfs/GMD-1803-27.pdf#page=12","Abrir facsímil")</f>
        <v>Abrir facsímil</v>
      </c>
      <c r="K2673" s="15" t="s">
        <v>23</v>
      </c>
    </row>
    <row r="2674" spans="1:11" ht="42" customHeight="1">
      <c r="A2674" s="4" t="s">
        <v>6753</v>
      </c>
      <c r="B2674" s="5" t="s">
        <v>6754</v>
      </c>
      <c r="C2674" s="5" t="s">
        <v>40</v>
      </c>
      <c r="D2674" s="5" t="s">
        <v>41</v>
      </c>
      <c r="E2674" s="5" t="s">
        <v>109</v>
      </c>
      <c r="F2674" s="9">
        <v>102</v>
      </c>
      <c r="G2674" s="9">
        <v>1089</v>
      </c>
      <c r="H2674" s="5" t="s">
        <v>21</v>
      </c>
      <c r="I2674" s="5" t="s">
        <v>6755</v>
      </c>
      <c r="J2674" s="12" t="str">
        <f>HYPERLINK("https://www.boe.es/gazeta/dias/1803/12/20/pdfs/GMD-1803-102.pdf#page=1","Abrir facsímil")</f>
        <v>Abrir facsímil</v>
      </c>
      <c r="K2674" s="15" t="s">
        <v>23</v>
      </c>
    </row>
    <row r="2675" spans="1:11" ht="42" customHeight="1">
      <c r="A2675" s="4" t="s">
        <v>6756</v>
      </c>
      <c r="B2675" s="5" t="s">
        <v>6757</v>
      </c>
      <c r="C2675" s="5" t="s">
        <v>26</v>
      </c>
      <c r="D2675" s="5" t="s">
        <v>27</v>
      </c>
      <c r="E2675" s="5" t="s">
        <v>373</v>
      </c>
      <c r="F2675" s="9">
        <v>77</v>
      </c>
      <c r="G2675" s="9">
        <v>834</v>
      </c>
      <c r="H2675" s="5" t="s">
        <v>21</v>
      </c>
      <c r="I2675" s="5" t="s">
        <v>6758</v>
      </c>
      <c r="J2675" s="12" t="str">
        <f>HYPERLINK("https://www.boe.es/gazeta/dias/1803/09/23/pdfs/GMD-1803-77.pdf#page=10","Abrir facsímil")</f>
        <v>Abrir facsímil</v>
      </c>
      <c r="K2675" s="15" t="s">
        <v>23</v>
      </c>
    </row>
    <row r="2676" spans="1:11" ht="42" customHeight="1">
      <c r="A2676" s="4" t="s">
        <v>6759</v>
      </c>
      <c r="B2676" s="5" t="s">
        <v>6760</v>
      </c>
      <c r="C2676" s="5" t="s">
        <v>26</v>
      </c>
      <c r="D2676" s="5" t="s">
        <v>27</v>
      </c>
      <c r="E2676" s="5" t="s">
        <v>313</v>
      </c>
      <c r="F2676" s="9">
        <v>14</v>
      </c>
      <c r="G2676" s="9">
        <v>143</v>
      </c>
      <c r="H2676" s="5" t="s">
        <v>21</v>
      </c>
      <c r="I2676" s="5" t="s">
        <v>6761</v>
      </c>
      <c r="J2676" s="12" t="str">
        <f>HYPERLINK("https://www.boe.es/gazeta/dias/1803/02/18/pdfs/GMD-1803-14.pdf#page=7","Abrir facsímil")</f>
        <v>Abrir facsímil</v>
      </c>
      <c r="K2676" s="15" t="s">
        <v>23</v>
      </c>
    </row>
    <row r="2677" spans="1:11" ht="42" customHeight="1">
      <c r="A2677" s="4" t="s">
        <v>6762</v>
      </c>
      <c r="B2677" s="5" t="s">
        <v>6763</v>
      </c>
      <c r="C2677" s="5" t="s">
        <v>26</v>
      </c>
      <c r="D2677" s="5" t="s">
        <v>27</v>
      </c>
      <c r="E2677" s="5" t="s">
        <v>313</v>
      </c>
      <c r="F2677" s="9">
        <v>14</v>
      </c>
      <c r="G2677" s="9">
        <v>143</v>
      </c>
      <c r="H2677" s="5" t="s">
        <v>21</v>
      </c>
      <c r="I2677" s="5" t="s">
        <v>6764</v>
      </c>
      <c r="J2677" s="12" t="str">
        <f>HYPERLINK("https://www.boe.es/gazeta/dias/1803/02/18/pdfs/GMD-1803-14.pdf#page=7","Abrir facsímil")</f>
        <v>Abrir facsímil</v>
      </c>
      <c r="K2677" s="15" t="s">
        <v>23</v>
      </c>
    </row>
    <row r="2678" spans="1:11" ht="42" customHeight="1">
      <c r="A2678" s="4" t="s">
        <v>6765</v>
      </c>
      <c r="B2678" s="5" t="s">
        <v>6765</v>
      </c>
      <c r="C2678" s="5" t="s">
        <v>46</v>
      </c>
      <c r="D2678" s="5" t="s">
        <v>19</v>
      </c>
      <c r="E2678" s="5" t="s">
        <v>399</v>
      </c>
      <c r="F2678" s="9">
        <v>95</v>
      </c>
      <c r="G2678" s="9">
        <v>1017</v>
      </c>
      <c r="H2678" s="5" t="s">
        <v>21</v>
      </c>
      <c r="I2678" s="5" t="s">
        <v>6766</v>
      </c>
      <c r="J2678" s="12" t="str">
        <f>HYPERLINK("https://www.boe.es/gazeta/dias/1803/11/25/pdfs/GMD-1803-95.pdf#page=5","Abrir facsímil")</f>
        <v>Abrir facsímil</v>
      </c>
      <c r="K2678" s="15" t="s">
        <v>23</v>
      </c>
    </row>
    <row r="2679" spans="1:11" ht="42" customHeight="1">
      <c r="A2679" s="4" t="s">
        <v>6767</v>
      </c>
      <c r="B2679" s="5" t="s">
        <v>6768</v>
      </c>
      <c r="C2679" s="5" t="s">
        <v>51</v>
      </c>
      <c r="D2679" s="5" t="s">
        <v>52</v>
      </c>
      <c r="E2679" s="5" t="s">
        <v>258</v>
      </c>
      <c r="F2679" s="9">
        <v>7</v>
      </c>
      <c r="G2679" s="9">
        <v>70</v>
      </c>
      <c r="H2679" s="5" t="s">
        <v>21</v>
      </c>
      <c r="I2679" s="5" t="s">
        <v>6769</v>
      </c>
      <c r="J2679" s="12" t="str">
        <f>HYPERLINK("https://www.boe.es/gazeta/dias/1803/01/25/pdfs/GMD-1803-7.pdf#page=10","Abrir facsímil")</f>
        <v>Abrir facsímil</v>
      </c>
      <c r="K2679" s="15" t="s">
        <v>23</v>
      </c>
    </row>
    <row r="2680" spans="1:11" ht="42" customHeight="1">
      <c r="A2680" s="4" t="s">
        <v>6770</v>
      </c>
      <c r="B2680" s="5" t="s">
        <v>6771</v>
      </c>
      <c r="C2680" s="5" t="s">
        <v>26</v>
      </c>
      <c r="D2680" s="5" t="s">
        <v>27</v>
      </c>
      <c r="E2680" s="5" t="s">
        <v>501</v>
      </c>
      <c r="F2680" s="9">
        <v>22</v>
      </c>
      <c r="G2680" s="9">
        <v>237</v>
      </c>
      <c r="H2680" s="5" t="s">
        <v>21</v>
      </c>
      <c r="I2680" s="5" t="s">
        <v>6772</v>
      </c>
      <c r="J2680" s="12" t="str">
        <f>HYPERLINK("https://www.boe.es/gazeta/dias/1803/03/18/pdfs/GMD-1803-22.pdf#page=9","Abrir facsímil")</f>
        <v>Abrir facsímil</v>
      </c>
      <c r="K2680" s="15" t="s">
        <v>23</v>
      </c>
    </row>
    <row r="2681" spans="1:11" ht="42" customHeight="1">
      <c r="A2681" s="4" t="s">
        <v>6773</v>
      </c>
      <c r="B2681" s="5" t="s">
        <v>6774</v>
      </c>
      <c r="C2681" s="5" t="s">
        <v>26</v>
      </c>
      <c r="D2681" s="5" t="s">
        <v>27</v>
      </c>
      <c r="E2681" s="5" t="s">
        <v>191</v>
      </c>
      <c r="F2681" s="9">
        <v>34</v>
      </c>
      <c r="G2681" s="9">
        <v>358</v>
      </c>
      <c r="H2681" s="5" t="s">
        <v>21</v>
      </c>
      <c r="I2681" s="5" t="s">
        <v>6775</v>
      </c>
      <c r="J2681" s="12" t="str">
        <f>HYPERLINK("https://www.boe.es/gazeta/dias/1803/04/29/pdfs/GMD-1803-34.pdf#page=6","Abrir facsímil")</f>
        <v>Abrir facsímil</v>
      </c>
      <c r="K2681" s="15" t="s">
        <v>23</v>
      </c>
    </row>
    <row r="2682" spans="1:11" ht="42" customHeight="1">
      <c r="A2682" s="4" t="s">
        <v>6776</v>
      </c>
      <c r="B2682" s="5" t="s">
        <v>6777</v>
      </c>
      <c r="C2682" s="5" t="s">
        <v>51</v>
      </c>
      <c r="D2682" s="5" t="s">
        <v>52</v>
      </c>
      <c r="E2682" s="5" t="s">
        <v>93</v>
      </c>
      <c r="F2682" s="9">
        <v>43</v>
      </c>
      <c r="G2682" s="9">
        <v>450</v>
      </c>
      <c r="H2682" s="5" t="s">
        <v>21</v>
      </c>
      <c r="I2682" s="5" t="s">
        <v>6778</v>
      </c>
      <c r="J2682" s="12" t="str">
        <f>HYPERLINK("https://www.boe.es/gazeta/dias/1803/05/31/pdfs/GMD-1803-43.pdf#page=10","Abrir facsímil")</f>
        <v>Abrir facsímil</v>
      </c>
      <c r="K2682" s="15" t="s">
        <v>23</v>
      </c>
    </row>
    <row r="2683" spans="1:11" ht="42" customHeight="1">
      <c r="A2683" s="4" t="s">
        <v>6779</v>
      </c>
      <c r="B2683" s="5" t="s">
        <v>6780</v>
      </c>
      <c r="C2683" s="5" t="s">
        <v>26</v>
      </c>
      <c r="D2683" s="5" t="s">
        <v>27</v>
      </c>
      <c r="E2683" s="5" t="s">
        <v>231</v>
      </c>
      <c r="F2683" s="9">
        <v>26</v>
      </c>
      <c r="G2683" s="9">
        <v>282</v>
      </c>
      <c r="H2683" s="5" t="s">
        <v>21</v>
      </c>
      <c r="I2683" s="5" t="s">
        <v>6781</v>
      </c>
      <c r="J2683" s="12" t="str">
        <f>HYPERLINK("https://www.boe.es/gazeta/dias/1803/04/01/pdfs/GMD-1803-26.pdf#page=10","Abrir facsímil")</f>
        <v>Abrir facsímil</v>
      </c>
      <c r="K2683" s="15" t="s">
        <v>23</v>
      </c>
    </row>
    <row r="2684" spans="1:11" ht="42" customHeight="1">
      <c r="A2684" s="4" t="s">
        <v>6782</v>
      </c>
      <c r="B2684" s="5" t="s">
        <v>6783</v>
      </c>
      <c r="C2684" s="5" t="s">
        <v>40</v>
      </c>
      <c r="D2684" s="5" t="s">
        <v>41</v>
      </c>
      <c r="E2684" s="5" t="s">
        <v>75</v>
      </c>
      <c r="F2684" s="9">
        <v>56</v>
      </c>
      <c r="G2684" s="9">
        <v>605</v>
      </c>
      <c r="H2684" s="5" t="s">
        <v>21</v>
      </c>
      <c r="I2684" s="5" t="s">
        <v>6784</v>
      </c>
      <c r="J2684" s="12" t="str">
        <f>HYPERLINK("https://www.boe.es/gazeta/dias/1803/07/15/pdfs/GMD-1803-56.pdf#page=1","Abrir facsímil")</f>
        <v>Abrir facsímil</v>
      </c>
      <c r="K2684" s="15" t="s">
        <v>23</v>
      </c>
    </row>
    <row r="2685" spans="1:11" ht="42" customHeight="1">
      <c r="A2685" s="4" t="s">
        <v>6785</v>
      </c>
      <c r="B2685" s="5" t="s">
        <v>6786</v>
      </c>
      <c r="C2685" s="5" t="s">
        <v>46</v>
      </c>
      <c r="D2685" s="5" t="s">
        <v>19</v>
      </c>
      <c r="E2685" s="5" t="s">
        <v>606</v>
      </c>
      <c r="F2685" s="9">
        <v>47</v>
      </c>
      <c r="G2685" s="9">
        <v>500</v>
      </c>
      <c r="H2685" s="5" t="s">
        <v>21</v>
      </c>
      <c r="I2685" s="5" t="s">
        <v>6787</v>
      </c>
      <c r="J2685" s="12" t="str">
        <f>HYPERLINK("https://www.boe.es/gazeta/dias/1803/06/14/pdfs/GMD-1803-47.pdf#page=12","Abrir facsímil")</f>
        <v>Abrir facsímil</v>
      </c>
      <c r="K2685" s="15" t="s">
        <v>23</v>
      </c>
    </row>
    <row r="2686" spans="1:11" ht="42" customHeight="1">
      <c r="A2686" s="4" t="s">
        <v>6788</v>
      </c>
      <c r="B2686" s="5" t="s">
        <v>6789</v>
      </c>
      <c r="C2686" s="5" t="s">
        <v>26</v>
      </c>
      <c r="D2686" s="5" t="s">
        <v>27</v>
      </c>
      <c r="E2686" s="5" t="s">
        <v>403</v>
      </c>
      <c r="F2686" s="9">
        <v>91</v>
      </c>
      <c r="G2686" s="9">
        <v>977</v>
      </c>
      <c r="H2686" s="5" t="s">
        <v>21</v>
      </c>
      <c r="I2686" s="5" t="s">
        <v>6790</v>
      </c>
      <c r="J2686" s="12" t="str">
        <f>HYPERLINK("https://www.boe.es/gazeta/dias/1803/11/11/pdfs/GMD-1803-91.pdf#page=9","Abrir facsímil")</f>
        <v>Abrir facsímil</v>
      </c>
      <c r="K2686" s="15" t="s">
        <v>23</v>
      </c>
    </row>
    <row r="2687" spans="1:11" ht="42" customHeight="1">
      <c r="A2687" s="4" t="s">
        <v>6791</v>
      </c>
      <c r="B2687" s="5" t="s">
        <v>6792</v>
      </c>
      <c r="C2687" s="5" t="s">
        <v>51</v>
      </c>
      <c r="D2687" s="5" t="s">
        <v>52</v>
      </c>
      <c r="E2687" s="5" t="s">
        <v>523</v>
      </c>
      <c r="F2687" s="9">
        <v>101</v>
      </c>
      <c r="G2687" s="9">
        <v>1082</v>
      </c>
      <c r="H2687" s="5" t="s">
        <v>21</v>
      </c>
      <c r="I2687" s="5" t="s">
        <v>6793</v>
      </c>
      <c r="J2687" s="12" t="str">
        <f>HYPERLINK("https://www.boe.es/gazeta/dias/1803/12/16/pdfs/GMD-1803-101.pdf#page=6","Abrir facsímil")</f>
        <v>Abrir facsímil</v>
      </c>
      <c r="K2687" s="15" t="s">
        <v>23</v>
      </c>
    </row>
    <row r="2688" spans="1:11" ht="42" customHeight="1">
      <c r="A2688" s="4" t="s">
        <v>6794</v>
      </c>
      <c r="B2688" s="5" t="s">
        <v>6795</v>
      </c>
      <c r="C2688" s="5" t="s">
        <v>40</v>
      </c>
      <c r="D2688" s="5" t="s">
        <v>41</v>
      </c>
      <c r="E2688" s="5" t="s">
        <v>28</v>
      </c>
      <c r="F2688" s="9">
        <v>92</v>
      </c>
      <c r="G2688" s="9">
        <v>985</v>
      </c>
      <c r="H2688" s="5" t="s">
        <v>21</v>
      </c>
      <c r="I2688" s="5" t="s">
        <v>6796</v>
      </c>
      <c r="J2688" s="12" t="str">
        <f>HYPERLINK("https://www.boe.es/gazeta/dias/1803/11/15/pdfs/GMD-1803-92.pdf#page=5","Abrir facsímil")</f>
        <v>Abrir facsímil</v>
      </c>
      <c r="K2688" s="15" t="s">
        <v>23</v>
      </c>
    </row>
    <row r="2689" spans="1:11" ht="42" customHeight="1">
      <c r="A2689" s="4" t="s">
        <v>6797</v>
      </c>
      <c r="B2689" s="5" t="s">
        <v>6797</v>
      </c>
      <c r="C2689" s="5" t="s">
        <v>51</v>
      </c>
      <c r="D2689" s="5" t="s">
        <v>52</v>
      </c>
      <c r="E2689" s="5" t="s">
        <v>64</v>
      </c>
      <c r="F2689" s="9">
        <v>65</v>
      </c>
      <c r="G2689" s="9">
        <v>712</v>
      </c>
      <c r="H2689" s="5" t="s">
        <v>21</v>
      </c>
      <c r="I2689" s="5" t="s">
        <v>6798</v>
      </c>
      <c r="J2689" s="12" t="str">
        <f>HYPERLINK("https://www.boe.es/gazeta/dias/1803/08/16/pdfs/GMD-1803-65.pdf#page=12","Abrir facsímil")</f>
        <v>Abrir facsímil</v>
      </c>
      <c r="K2689" s="15" t="s">
        <v>23</v>
      </c>
    </row>
    <row r="2690" spans="1:11" ht="42" customHeight="1">
      <c r="A2690" s="4" t="s">
        <v>6799</v>
      </c>
      <c r="B2690" s="5" t="s">
        <v>6799</v>
      </c>
      <c r="C2690" s="5" t="s">
        <v>26</v>
      </c>
      <c r="D2690" s="5" t="s">
        <v>27</v>
      </c>
      <c r="E2690" s="5" t="s">
        <v>317</v>
      </c>
      <c r="F2690" s="9">
        <v>12</v>
      </c>
      <c r="G2690" s="9">
        <v>122</v>
      </c>
      <c r="H2690" s="5" t="s">
        <v>21</v>
      </c>
      <c r="I2690" s="5" t="s">
        <v>6800</v>
      </c>
      <c r="J2690" s="12" t="str">
        <f>HYPERLINK("https://www.boe.es/gazeta/dias/1803/02/11/pdfs/GMD-1803-12.pdf#page=10","Abrir facsímil")</f>
        <v>Abrir facsímil</v>
      </c>
      <c r="K2690" s="15" t="s">
        <v>23</v>
      </c>
    </row>
    <row r="2691" spans="1:11" ht="42" customHeight="1">
      <c r="A2691" s="4" t="s">
        <v>6801</v>
      </c>
      <c r="B2691" s="5" t="s">
        <v>6801</v>
      </c>
      <c r="C2691" s="5" t="s">
        <v>26</v>
      </c>
      <c r="D2691" s="5" t="s">
        <v>27</v>
      </c>
      <c r="E2691" s="5" t="s">
        <v>57</v>
      </c>
      <c r="F2691" s="9">
        <v>51</v>
      </c>
      <c r="G2691" s="9">
        <v>553</v>
      </c>
      <c r="H2691" s="5" t="s">
        <v>21</v>
      </c>
      <c r="I2691" s="5" t="s">
        <v>6802</v>
      </c>
      <c r="J2691" s="12" t="str">
        <f>HYPERLINK("https://www.boe.es/gazeta/dias/1803/06/28/pdfs/GMD-1803-51.pdf#page=9","Abrir facsímil")</f>
        <v>Abrir facsímil</v>
      </c>
      <c r="K2691" s="15" t="s">
        <v>23</v>
      </c>
    </row>
    <row r="2692" spans="1:11" ht="42" customHeight="1">
      <c r="A2692" s="4" t="s">
        <v>6803</v>
      </c>
      <c r="B2692" s="5" t="s">
        <v>6803</v>
      </c>
      <c r="C2692" s="5" t="s">
        <v>26</v>
      </c>
      <c r="D2692" s="5" t="s">
        <v>27</v>
      </c>
      <c r="E2692" s="5" t="s">
        <v>657</v>
      </c>
      <c r="F2692" s="9">
        <v>24</v>
      </c>
      <c r="G2692" s="9">
        <v>256</v>
      </c>
      <c r="H2692" s="5" t="s">
        <v>21</v>
      </c>
      <c r="I2692" s="5" t="s">
        <v>6804</v>
      </c>
      <c r="J2692" s="12" t="str">
        <f>HYPERLINK("https://www.boe.es/gazeta/dias/1803/03/25/pdfs/GMD-1803-24.pdf#page=8","Abrir facsímil")</f>
        <v>Abrir facsímil</v>
      </c>
      <c r="K2692" s="15" t="s">
        <v>23</v>
      </c>
    </row>
    <row r="2693" spans="1:11" ht="42" customHeight="1">
      <c r="A2693" s="4" t="s">
        <v>6805</v>
      </c>
      <c r="B2693" s="5" t="s">
        <v>6805</v>
      </c>
      <c r="C2693" s="5" t="s">
        <v>40</v>
      </c>
      <c r="D2693" s="5" t="s">
        <v>41</v>
      </c>
      <c r="E2693" s="5" t="s">
        <v>417</v>
      </c>
      <c r="F2693" s="9">
        <v>72</v>
      </c>
      <c r="G2693" s="9">
        <v>784</v>
      </c>
      <c r="H2693" s="5" t="s">
        <v>21</v>
      </c>
      <c r="I2693" s="5" t="s">
        <v>6806</v>
      </c>
      <c r="J2693" s="12" t="str">
        <f>HYPERLINK("https://www.boe.es/gazeta/dias/1803/09/09/pdfs/GMD-1803-72.pdf#page=4","Abrir facsímil")</f>
        <v>Abrir facsímil</v>
      </c>
      <c r="K2693" s="15" t="s">
        <v>23</v>
      </c>
    </row>
    <row r="2694" spans="1:11" ht="42" customHeight="1">
      <c r="A2694" s="4" t="s">
        <v>6807</v>
      </c>
      <c r="B2694" s="5" t="s">
        <v>6807</v>
      </c>
      <c r="C2694" s="5" t="s">
        <v>26</v>
      </c>
      <c r="D2694" s="5" t="s">
        <v>27</v>
      </c>
      <c r="E2694" s="5" t="s">
        <v>328</v>
      </c>
      <c r="F2694" s="9">
        <v>54</v>
      </c>
      <c r="G2694" s="9">
        <v>587</v>
      </c>
      <c r="H2694" s="5" t="s">
        <v>21</v>
      </c>
      <c r="I2694" s="5" t="s">
        <v>6808</v>
      </c>
      <c r="J2694" s="12" t="str">
        <f>HYPERLINK("https://www.boe.es/gazeta/dias/1803/07/08/pdfs/GMD-1803-54.pdf#page=7","Abrir facsímil")</f>
        <v>Abrir facsímil</v>
      </c>
      <c r="K2694" s="15" t="s">
        <v>23</v>
      </c>
    </row>
    <row r="2695" spans="1:11" ht="42" customHeight="1">
      <c r="A2695" s="4" t="s">
        <v>6809</v>
      </c>
      <c r="B2695" s="5" t="s">
        <v>6810</v>
      </c>
      <c r="C2695" s="5" t="s">
        <v>26</v>
      </c>
      <c r="D2695" s="5" t="s">
        <v>27</v>
      </c>
      <c r="E2695" s="5" t="s">
        <v>61</v>
      </c>
      <c r="F2695" s="9">
        <v>67</v>
      </c>
      <c r="G2695" s="9">
        <v>730</v>
      </c>
      <c r="H2695" s="5" t="s">
        <v>21</v>
      </c>
      <c r="I2695" s="5" t="s">
        <v>6811</v>
      </c>
      <c r="J2695" s="12" t="str">
        <f>HYPERLINK("https://www.boe.es/gazeta/dias/1803/08/23/pdfs/GMD-1803-67.pdf#page=10","Abrir facsímil")</f>
        <v>Abrir facsímil</v>
      </c>
      <c r="K2695" s="15" t="s">
        <v>23</v>
      </c>
    </row>
    <row r="2696" spans="1:11" ht="42" customHeight="1">
      <c r="A2696" s="4" t="s">
        <v>6812</v>
      </c>
      <c r="B2696" s="5" t="s">
        <v>6812</v>
      </c>
      <c r="C2696" s="5" t="s">
        <v>40</v>
      </c>
      <c r="D2696" s="5" t="s">
        <v>41</v>
      </c>
      <c r="E2696" s="5" t="s">
        <v>1279</v>
      </c>
      <c r="F2696" s="9">
        <v>3</v>
      </c>
      <c r="G2696" s="9">
        <v>26</v>
      </c>
      <c r="H2696" s="5" t="s">
        <v>21</v>
      </c>
      <c r="I2696" s="5" t="s">
        <v>6813</v>
      </c>
      <c r="J2696" s="12" t="str">
        <f>HYPERLINK("https://www.boe.es/gazeta/dias/1803/01/11/pdfs/GMD-1803-3.pdf#page=6","Abrir facsímil")</f>
        <v>Abrir facsímil</v>
      </c>
      <c r="K2696" s="15" t="s">
        <v>23</v>
      </c>
    </row>
    <row r="2697" spans="1:11" ht="42" customHeight="1">
      <c r="A2697" s="4" t="s">
        <v>6814</v>
      </c>
      <c r="B2697" s="5" t="s">
        <v>6814</v>
      </c>
      <c r="C2697" s="5" t="s">
        <v>40</v>
      </c>
      <c r="D2697" s="5" t="s">
        <v>41</v>
      </c>
      <c r="E2697" s="5" t="s">
        <v>61</v>
      </c>
      <c r="F2697" s="9">
        <v>67</v>
      </c>
      <c r="G2697" s="9">
        <v>721</v>
      </c>
      <c r="H2697" s="5" t="s">
        <v>21</v>
      </c>
      <c r="I2697" s="5" t="s">
        <v>6815</v>
      </c>
      <c r="J2697" s="12" t="str">
        <f>HYPERLINK("https://www.boe.es/gazeta/dias/1803/08/23/pdfs/GMD-1803-67.pdf#page=1","Abrir facsímil")</f>
        <v>Abrir facsímil</v>
      </c>
      <c r="K2697" s="15" t="s">
        <v>23</v>
      </c>
    </row>
    <row r="2698" spans="1:11" ht="42" customHeight="1">
      <c r="A2698" s="4" t="s">
        <v>6816</v>
      </c>
      <c r="B2698" s="5" t="s">
        <v>6817</v>
      </c>
      <c r="C2698" s="5" t="s">
        <v>40</v>
      </c>
      <c r="D2698" s="5" t="s">
        <v>41</v>
      </c>
      <c r="E2698" s="5" t="s">
        <v>285</v>
      </c>
      <c r="F2698" s="9">
        <v>5</v>
      </c>
      <c r="G2698" s="9">
        <v>45</v>
      </c>
      <c r="H2698" s="5" t="s">
        <v>21</v>
      </c>
      <c r="I2698" s="5" t="s">
        <v>6818</v>
      </c>
      <c r="J2698" s="12" t="str">
        <f>HYPERLINK("https://www.boe.es/gazeta/dias/1803/01/18/pdfs/GMD-1803-5.pdf#page=9","Abrir facsímil")</f>
        <v>Abrir facsímil</v>
      </c>
      <c r="K2698" s="15" t="s">
        <v>23</v>
      </c>
    </row>
    <row r="2699" spans="1:11" ht="42" customHeight="1">
      <c r="A2699" s="4" t="s">
        <v>6819</v>
      </c>
      <c r="B2699" s="5" t="s">
        <v>6820</v>
      </c>
      <c r="C2699" s="5" t="s">
        <v>26</v>
      </c>
      <c r="D2699" s="5" t="s">
        <v>27</v>
      </c>
      <c r="E2699" s="5" t="s">
        <v>71</v>
      </c>
      <c r="F2699" s="9">
        <v>39</v>
      </c>
      <c r="G2699" s="9">
        <v>413</v>
      </c>
      <c r="H2699" s="5" t="s">
        <v>21</v>
      </c>
      <c r="I2699" s="5" t="s">
        <v>6821</v>
      </c>
      <c r="J2699" s="12" t="str">
        <f>HYPERLINK("https://www.boe.es/gazeta/dias/1803/05/17/pdfs/GMD-1803-39.pdf#page=9","Abrir facsímil")</f>
        <v>Abrir facsímil</v>
      </c>
      <c r="K2699" s="15" t="s">
        <v>23</v>
      </c>
    </row>
    <row r="2700" spans="1:11" ht="42" customHeight="1">
      <c r="A2700" s="4" t="s">
        <v>6822</v>
      </c>
      <c r="B2700" s="5" t="s">
        <v>6822</v>
      </c>
      <c r="C2700" s="5" t="s">
        <v>40</v>
      </c>
      <c r="D2700" s="5" t="s">
        <v>41</v>
      </c>
      <c r="E2700" s="5" t="s">
        <v>336</v>
      </c>
      <c r="F2700" s="9">
        <v>105</v>
      </c>
      <c r="G2700" s="9">
        <v>1120</v>
      </c>
      <c r="H2700" s="5" t="s">
        <v>21</v>
      </c>
      <c r="I2700" s="5" t="s">
        <v>6823</v>
      </c>
      <c r="J2700" s="12" t="str">
        <f>HYPERLINK("https://www.boe.es/gazeta/dias/1803/12/30/pdfs/GMD-1803-105.pdf#page=4","Abrir facsímil")</f>
        <v>Abrir facsímil</v>
      </c>
      <c r="K2700" s="15" t="s">
        <v>23</v>
      </c>
    </row>
    <row r="2701" spans="1:11" ht="42" customHeight="1">
      <c r="A2701" s="4" t="s">
        <v>6824</v>
      </c>
      <c r="B2701" s="5" t="s">
        <v>6825</v>
      </c>
      <c r="C2701" s="5" t="s">
        <v>26</v>
      </c>
      <c r="D2701" s="5" t="s">
        <v>27</v>
      </c>
      <c r="E2701" s="5" t="s">
        <v>132</v>
      </c>
      <c r="F2701" s="9">
        <v>58</v>
      </c>
      <c r="G2701" s="9">
        <v>638</v>
      </c>
      <c r="H2701" s="5" t="s">
        <v>21</v>
      </c>
      <c r="I2701" s="5" t="s">
        <v>6826</v>
      </c>
      <c r="J2701" s="12" t="str">
        <f>HYPERLINK("https://www.boe.es/gazeta/dias/1803/07/22/pdfs/GMD-1803-58.pdf#page=10","Abrir facsímil")</f>
        <v>Abrir facsímil</v>
      </c>
      <c r="K2701" s="15" t="s">
        <v>23</v>
      </c>
    </row>
    <row r="2702" spans="1:11" ht="42" customHeight="1">
      <c r="A2702" s="4" t="s">
        <v>6827</v>
      </c>
      <c r="B2702" s="5" t="s">
        <v>6827</v>
      </c>
      <c r="C2702" s="5" t="s">
        <v>26</v>
      </c>
      <c r="D2702" s="5" t="s">
        <v>27</v>
      </c>
      <c r="E2702" s="5" t="s">
        <v>523</v>
      </c>
      <c r="F2702" s="9">
        <v>101</v>
      </c>
      <c r="G2702" s="9">
        <v>1086</v>
      </c>
      <c r="H2702" s="5" t="s">
        <v>21</v>
      </c>
      <c r="I2702" s="5" t="s">
        <v>6828</v>
      </c>
      <c r="J2702" s="12" t="str">
        <f>HYPERLINK("https://www.boe.es/gazeta/dias/1803/12/16/pdfs/GMD-1803-101.pdf#page=10","Abrir facsímil")</f>
        <v>Abrir facsímil</v>
      </c>
      <c r="K2702" s="15" t="s">
        <v>23</v>
      </c>
    </row>
    <row r="2703" spans="1:11" ht="42" customHeight="1">
      <c r="A2703" s="4" t="s">
        <v>6829</v>
      </c>
      <c r="B2703" s="5" t="s">
        <v>6830</v>
      </c>
      <c r="C2703" s="5" t="s">
        <v>80</v>
      </c>
      <c r="D2703" s="5" t="s">
        <v>81</v>
      </c>
      <c r="E2703" s="5" t="s">
        <v>148</v>
      </c>
      <c r="F2703" s="9">
        <v>15</v>
      </c>
      <c r="G2703" s="9">
        <v>160</v>
      </c>
      <c r="H2703" s="5" t="s">
        <v>21</v>
      </c>
      <c r="I2703" s="5" t="s">
        <v>6831</v>
      </c>
      <c r="J2703" s="12" t="str">
        <f>HYPERLINK("https://www.boe.es/gazeta/dias/1803/02/22/pdfs/GMD-1803-15.pdf#page=12","Abrir facsímil")</f>
        <v>Abrir facsímil</v>
      </c>
      <c r="K2703" s="15" t="s">
        <v>23</v>
      </c>
    </row>
    <row r="2704" spans="1:11" ht="42" customHeight="1">
      <c r="A2704" s="4" t="s">
        <v>6829</v>
      </c>
      <c r="B2704" s="5" t="s">
        <v>6830</v>
      </c>
      <c r="C2704" s="5" t="s">
        <v>80</v>
      </c>
      <c r="D2704" s="5" t="s">
        <v>81</v>
      </c>
      <c r="E2704" s="5" t="s">
        <v>68</v>
      </c>
      <c r="F2704" s="9">
        <v>23</v>
      </c>
      <c r="G2704" s="9">
        <v>248</v>
      </c>
      <c r="H2704" s="5" t="s">
        <v>21</v>
      </c>
      <c r="I2704" s="5" t="s">
        <v>6832</v>
      </c>
      <c r="J2704" s="12" t="str">
        <f>HYPERLINK("https://www.boe.es/gazeta/dias/1803/03/22/pdfs/GMD-1803-23.pdf#page=8","Abrir facsímil")</f>
        <v>Abrir facsímil</v>
      </c>
      <c r="K2704" s="15" t="s">
        <v>23</v>
      </c>
    </row>
    <row r="2705" spans="1:11" ht="42" customHeight="1">
      <c r="A2705" s="4" t="s">
        <v>6833</v>
      </c>
      <c r="B2705" s="5" t="s">
        <v>6834</v>
      </c>
      <c r="C2705" s="5" t="s">
        <v>80</v>
      </c>
      <c r="D2705" s="5" t="s">
        <v>81</v>
      </c>
      <c r="E2705" s="5" t="s">
        <v>373</v>
      </c>
      <c r="F2705" s="9">
        <v>77</v>
      </c>
      <c r="G2705" s="9">
        <v>835</v>
      </c>
      <c r="H2705" s="5" t="s">
        <v>21</v>
      </c>
      <c r="I2705" s="5" t="s">
        <v>6835</v>
      </c>
      <c r="J2705" s="12" t="str">
        <f>HYPERLINK("https://www.boe.es/gazeta/dias/1803/09/23/pdfs/GMD-1803-77.pdf#page=11","Abrir facsímil")</f>
        <v>Abrir facsímil</v>
      </c>
      <c r="K2705" s="15" t="s">
        <v>23</v>
      </c>
    </row>
    <row r="2706" spans="1:11" ht="42" customHeight="1">
      <c r="A2706" s="4" t="s">
        <v>6836</v>
      </c>
      <c r="B2706" s="5" t="s">
        <v>6837</v>
      </c>
      <c r="C2706" s="5" t="s">
        <v>80</v>
      </c>
      <c r="D2706" s="5" t="s">
        <v>81</v>
      </c>
      <c r="E2706" s="5" t="s">
        <v>231</v>
      </c>
      <c r="F2706" s="9">
        <v>26</v>
      </c>
      <c r="G2706" s="9">
        <v>283</v>
      </c>
      <c r="H2706" s="5" t="s">
        <v>21</v>
      </c>
      <c r="I2706" s="5" t="s">
        <v>6838</v>
      </c>
      <c r="J2706" s="12" t="str">
        <f>HYPERLINK("https://www.boe.es/gazeta/dias/1803/04/01/pdfs/GMD-1803-26.pdf#page=11","Abrir facsímil")</f>
        <v>Abrir facsímil</v>
      </c>
      <c r="K2706" s="15" t="s">
        <v>23</v>
      </c>
    </row>
    <row r="2707" spans="1:11" ht="42" customHeight="1">
      <c r="A2707" s="4" t="s">
        <v>6839</v>
      </c>
      <c r="B2707" s="5" t="s">
        <v>6839</v>
      </c>
      <c r="C2707" s="5" t="s">
        <v>18</v>
      </c>
      <c r="D2707" s="5" t="s">
        <v>19</v>
      </c>
      <c r="E2707" s="5" t="s">
        <v>417</v>
      </c>
      <c r="F2707" s="9">
        <v>72</v>
      </c>
      <c r="G2707" s="9">
        <v>786</v>
      </c>
      <c r="H2707" s="5" t="s">
        <v>21</v>
      </c>
      <c r="I2707" s="5" t="s">
        <v>6840</v>
      </c>
      <c r="J2707" s="12" t="str">
        <f>HYPERLINK("https://www.boe.es/gazeta/dias/1803/09/09/pdfs/GMD-1803-72.pdf#page=6","Abrir facsímil")</f>
        <v>Abrir facsímil</v>
      </c>
      <c r="K2707" s="15" t="s">
        <v>23</v>
      </c>
    </row>
    <row r="2708" spans="1:11" ht="42" customHeight="1">
      <c r="A2708" s="4" t="s">
        <v>6841</v>
      </c>
      <c r="B2708" s="5" t="s">
        <v>6841</v>
      </c>
      <c r="C2708" s="5" t="s">
        <v>18</v>
      </c>
      <c r="D2708" s="5" t="s">
        <v>19</v>
      </c>
      <c r="E2708" s="5" t="s">
        <v>726</v>
      </c>
      <c r="F2708" s="9">
        <v>78</v>
      </c>
      <c r="G2708" s="9">
        <v>847</v>
      </c>
      <c r="H2708" s="5" t="s">
        <v>21</v>
      </c>
      <c r="I2708" s="5" t="s">
        <v>6842</v>
      </c>
      <c r="J2708" s="12" t="str">
        <f>HYPERLINK("https://www.boe.es/gazeta/dias/1803/09/27/pdfs/GMD-1803-78.pdf#page=11","Abrir facsímil")</f>
        <v>Abrir facsímil</v>
      </c>
      <c r="K2708" s="15" t="s">
        <v>23</v>
      </c>
    </row>
    <row r="2709" spans="1:11" ht="42" customHeight="1">
      <c r="A2709" s="4" t="s">
        <v>6843</v>
      </c>
      <c r="B2709" s="5" t="s">
        <v>6843</v>
      </c>
      <c r="C2709" s="5" t="s">
        <v>26</v>
      </c>
      <c r="D2709" s="5" t="s">
        <v>27</v>
      </c>
      <c r="E2709" s="5" t="s">
        <v>231</v>
      </c>
      <c r="F2709" s="9">
        <v>26</v>
      </c>
      <c r="G2709" s="9">
        <v>282</v>
      </c>
      <c r="H2709" s="5" t="s">
        <v>21</v>
      </c>
      <c r="I2709" s="5" t="s">
        <v>6844</v>
      </c>
      <c r="J2709" s="12" t="str">
        <f>HYPERLINK("https://www.boe.es/gazeta/dias/1803/04/01/pdfs/GMD-1803-26.pdf#page=10","Abrir facsímil")</f>
        <v>Abrir facsímil</v>
      </c>
      <c r="K2709" s="15" t="s">
        <v>23</v>
      </c>
    </row>
    <row r="2710" spans="1:11" ht="42" customHeight="1">
      <c r="A2710" s="4" t="s">
        <v>6845</v>
      </c>
      <c r="B2710" s="5" t="s">
        <v>6845</v>
      </c>
      <c r="C2710" s="5" t="s">
        <v>26</v>
      </c>
      <c r="D2710" s="5" t="s">
        <v>27</v>
      </c>
      <c r="E2710" s="5" t="s">
        <v>795</v>
      </c>
      <c r="F2710" s="9">
        <v>98</v>
      </c>
      <c r="G2710" s="9">
        <v>1050</v>
      </c>
      <c r="H2710" s="5" t="s">
        <v>21</v>
      </c>
      <c r="I2710" s="5" t="s">
        <v>6846</v>
      </c>
      <c r="J2710" s="12" t="str">
        <f>HYPERLINK("https://www.boe.es/gazeta/dias/1803/12/06/pdfs/GMD-1803-98.pdf#page=6","Abrir facsímil")</f>
        <v>Abrir facsímil</v>
      </c>
      <c r="K2710" s="15" t="s">
        <v>23</v>
      </c>
    </row>
    <row r="2711" spans="1:11" ht="42" customHeight="1">
      <c r="A2711" s="4" t="s">
        <v>6847</v>
      </c>
      <c r="B2711" s="5" t="s">
        <v>6847</v>
      </c>
      <c r="C2711" s="5" t="s">
        <v>18</v>
      </c>
      <c r="D2711" s="5" t="s">
        <v>19</v>
      </c>
      <c r="E2711" s="5" t="s">
        <v>882</v>
      </c>
      <c r="F2711" s="9">
        <v>60</v>
      </c>
      <c r="G2711" s="9">
        <v>657</v>
      </c>
      <c r="H2711" s="5" t="s">
        <v>21</v>
      </c>
      <c r="I2711" s="5" t="s">
        <v>6848</v>
      </c>
      <c r="J2711" s="12" t="str">
        <f>HYPERLINK("https://www.boe.es/gazeta/dias/1803/07/29/pdfs/GMD-1803-60.pdf#page=9","Abrir facsímil")</f>
        <v>Abrir facsímil</v>
      </c>
      <c r="K2711" s="15" t="s">
        <v>23</v>
      </c>
    </row>
    <row r="2712" spans="1:11" ht="42" customHeight="1">
      <c r="A2712" s="4" t="s">
        <v>6849</v>
      </c>
      <c r="B2712" s="5" t="s">
        <v>6849</v>
      </c>
      <c r="C2712" s="5" t="s">
        <v>26</v>
      </c>
      <c r="D2712" s="5" t="s">
        <v>27</v>
      </c>
      <c r="E2712" s="5" t="s">
        <v>113</v>
      </c>
      <c r="F2712" s="9">
        <v>93</v>
      </c>
      <c r="G2712" s="9">
        <v>995</v>
      </c>
      <c r="H2712" s="5" t="s">
        <v>21</v>
      </c>
      <c r="I2712" s="5" t="s">
        <v>6850</v>
      </c>
      <c r="J2712" s="12" t="str">
        <f>HYPERLINK("https://www.boe.es/gazeta/dias/1803/11/18/pdfs/GMD-1803-93.pdf#page=7","Abrir facsímil")</f>
        <v>Abrir facsímil</v>
      </c>
      <c r="K2712" s="15" t="s">
        <v>23</v>
      </c>
    </row>
    <row r="2713" spans="1:11" ht="42" customHeight="1">
      <c r="A2713" s="4" t="s">
        <v>6851</v>
      </c>
      <c r="B2713" s="5" t="s">
        <v>6851</v>
      </c>
      <c r="C2713" s="5" t="s">
        <v>51</v>
      </c>
      <c r="D2713" s="5" t="s">
        <v>52</v>
      </c>
      <c r="E2713" s="5" t="s">
        <v>93</v>
      </c>
      <c r="F2713" s="9">
        <v>43</v>
      </c>
      <c r="G2713" s="9">
        <v>452</v>
      </c>
      <c r="H2713" s="5" t="s">
        <v>21</v>
      </c>
      <c r="I2713" s="5" t="s">
        <v>6852</v>
      </c>
      <c r="J2713" s="12" t="str">
        <f>HYPERLINK("https://www.boe.es/gazeta/dias/1803/05/31/pdfs/GMD-1803-43.pdf#page=12","Abrir facsímil")</f>
        <v>Abrir facsímil</v>
      </c>
      <c r="K2713" s="15" t="s">
        <v>23</v>
      </c>
    </row>
    <row r="2714" spans="1:11" ht="42" customHeight="1">
      <c r="A2714" s="4" t="s">
        <v>6853</v>
      </c>
      <c r="B2714" s="5" t="s">
        <v>6854</v>
      </c>
      <c r="C2714" s="5" t="s">
        <v>26</v>
      </c>
      <c r="D2714" s="5" t="s">
        <v>27</v>
      </c>
      <c r="E2714" s="5" t="s">
        <v>156</v>
      </c>
      <c r="F2714" s="9">
        <v>2</v>
      </c>
      <c r="G2714" s="9">
        <v>17</v>
      </c>
      <c r="H2714" s="5" t="s">
        <v>21</v>
      </c>
      <c r="I2714" s="5" t="s">
        <v>6855</v>
      </c>
      <c r="J2714" s="12" t="str">
        <f>HYPERLINK("https://www.boe.es/gazeta/dias/1803/01/07/pdfs/GMD-1803-2.pdf#page=9","Abrir facsímil")</f>
        <v>Abrir facsímil</v>
      </c>
      <c r="K2714" s="15" t="s">
        <v>23</v>
      </c>
    </row>
    <row r="2715" spans="1:11" ht="42" customHeight="1">
      <c r="A2715" s="4" t="s">
        <v>6856</v>
      </c>
      <c r="B2715" s="5" t="s">
        <v>6856</v>
      </c>
      <c r="C2715" s="5" t="s">
        <v>26</v>
      </c>
      <c r="D2715" s="5" t="s">
        <v>27</v>
      </c>
      <c r="E2715" s="5" t="s">
        <v>403</v>
      </c>
      <c r="F2715" s="9">
        <v>91</v>
      </c>
      <c r="G2715" s="9">
        <v>977</v>
      </c>
      <c r="H2715" s="5" t="s">
        <v>21</v>
      </c>
      <c r="I2715" s="5" t="s">
        <v>6857</v>
      </c>
      <c r="J2715" s="12" t="str">
        <f>HYPERLINK("https://www.boe.es/gazeta/dias/1803/11/11/pdfs/GMD-1803-91.pdf#page=9","Abrir facsímil")</f>
        <v>Abrir facsímil</v>
      </c>
      <c r="K2715" s="15" t="s">
        <v>23</v>
      </c>
    </row>
    <row r="2716" spans="1:11" ht="42" customHeight="1">
      <c r="A2716" s="4" t="s">
        <v>6858</v>
      </c>
      <c r="B2716" s="5" t="s">
        <v>6858</v>
      </c>
      <c r="C2716" s="5" t="s">
        <v>40</v>
      </c>
      <c r="D2716" s="5" t="s">
        <v>41</v>
      </c>
      <c r="E2716" s="5" t="s">
        <v>124</v>
      </c>
      <c r="F2716" s="9">
        <v>20</v>
      </c>
      <c r="G2716" s="9">
        <v>209</v>
      </c>
      <c r="H2716" s="5" t="s">
        <v>21</v>
      </c>
      <c r="I2716" s="5" t="s">
        <v>6859</v>
      </c>
      <c r="J2716" s="12" t="str">
        <f>HYPERLINK("https://www.boe.es/gazeta/dias/1803/03/11/pdfs/GMD-1803-20.pdf#page=5","Abrir facsímil")</f>
        <v>Abrir facsímil</v>
      </c>
      <c r="K2716" s="15" t="s">
        <v>23</v>
      </c>
    </row>
    <row r="2717" spans="1:11" ht="42" customHeight="1">
      <c r="A2717" s="4" t="s">
        <v>6860</v>
      </c>
      <c r="B2717" s="5" t="s">
        <v>6861</v>
      </c>
      <c r="C2717" s="5" t="s">
        <v>26</v>
      </c>
      <c r="D2717" s="5" t="s">
        <v>27</v>
      </c>
      <c r="E2717" s="5" t="s">
        <v>313</v>
      </c>
      <c r="F2717" s="9">
        <v>14</v>
      </c>
      <c r="G2717" s="9">
        <v>143</v>
      </c>
      <c r="H2717" s="5" t="s">
        <v>21</v>
      </c>
      <c r="I2717" s="5" t="s">
        <v>6862</v>
      </c>
      <c r="J2717" s="12" t="str">
        <f>HYPERLINK("https://www.boe.es/gazeta/dias/1803/02/18/pdfs/GMD-1803-14.pdf#page=7","Abrir facsímil")</f>
        <v>Abrir facsímil</v>
      </c>
      <c r="K2717" s="15" t="s">
        <v>23</v>
      </c>
    </row>
    <row r="2718" spans="1:11" ht="42" customHeight="1">
      <c r="A2718" s="4" t="s">
        <v>6863</v>
      </c>
      <c r="B2718" s="5" t="s">
        <v>6864</v>
      </c>
      <c r="C2718" s="5" t="s">
        <v>26</v>
      </c>
      <c r="D2718" s="5" t="s">
        <v>27</v>
      </c>
      <c r="E2718" s="5" t="s">
        <v>148</v>
      </c>
      <c r="F2718" s="9">
        <v>15</v>
      </c>
      <c r="G2718" s="9">
        <v>157</v>
      </c>
      <c r="H2718" s="5" t="s">
        <v>21</v>
      </c>
      <c r="I2718" s="5" t="s">
        <v>6865</v>
      </c>
      <c r="J2718" s="12" t="str">
        <f>HYPERLINK("https://www.boe.es/gazeta/dias/1803/02/22/pdfs/GMD-1803-15.pdf#page=9","Abrir facsímil")</f>
        <v>Abrir facsímil</v>
      </c>
      <c r="K2718" s="15" t="s">
        <v>23</v>
      </c>
    </row>
    <row r="2719" spans="1:11" ht="42" customHeight="1">
      <c r="A2719" s="4" t="s">
        <v>6866</v>
      </c>
      <c r="B2719" s="5" t="s">
        <v>6867</v>
      </c>
      <c r="C2719" s="5" t="s">
        <v>26</v>
      </c>
      <c r="D2719" s="5" t="s">
        <v>27</v>
      </c>
      <c r="E2719" s="5" t="s">
        <v>321</v>
      </c>
      <c r="F2719" s="9">
        <v>94</v>
      </c>
      <c r="G2719" s="9">
        <v>1010</v>
      </c>
      <c r="H2719" s="5" t="s">
        <v>21</v>
      </c>
      <c r="I2719" s="5" t="s">
        <v>6868</v>
      </c>
      <c r="J2719" s="12" t="str">
        <f>HYPERLINK("https://www.boe.es/gazeta/dias/1803/11/22/pdfs/GMD-1803-94.pdf#page=10","Abrir facsímil")</f>
        <v>Abrir facsímil</v>
      </c>
      <c r="K2719" s="15" t="s">
        <v>23</v>
      </c>
    </row>
    <row r="2720" spans="1:11" ht="42" customHeight="1">
      <c r="A2720" s="4" t="s">
        <v>6869</v>
      </c>
      <c r="B2720" s="5" t="s">
        <v>6870</v>
      </c>
      <c r="C2720" s="5" t="s">
        <v>26</v>
      </c>
      <c r="D2720" s="5" t="s">
        <v>27</v>
      </c>
      <c r="E2720" s="5" t="s">
        <v>93</v>
      </c>
      <c r="F2720" s="9">
        <v>43</v>
      </c>
      <c r="G2720" s="9">
        <v>450</v>
      </c>
      <c r="H2720" s="5" t="s">
        <v>21</v>
      </c>
      <c r="I2720" s="5" t="s">
        <v>6871</v>
      </c>
      <c r="J2720" s="12" t="str">
        <f>HYPERLINK("https://www.boe.es/gazeta/dias/1803/05/31/pdfs/GMD-1803-43.pdf#page=10","Abrir facsímil")</f>
        <v>Abrir facsímil</v>
      </c>
      <c r="K2720" s="15" t="s">
        <v>23</v>
      </c>
    </row>
    <row r="2721" spans="1:11" ht="42" customHeight="1">
      <c r="A2721" s="4" t="s">
        <v>6872</v>
      </c>
      <c r="B2721" s="5" t="s">
        <v>6873</v>
      </c>
      <c r="C2721" s="5" t="s">
        <v>80</v>
      </c>
      <c r="D2721" s="5" t="s">
        <v>81</v>
      </c>
      <c r="E2721" s="5" t="s">
        <v>124</v>
      </c>
      <c r="F2721" s="9">
        <v>20</v>
      </c>
      <c r="G2721" s="9">
        <v>207</v>
      </c>
      <c r="H2721" s="5" t="s">
        <v>21</v>
      </c>
      <c r="I2721" s="5" t="s">
        <v>6874</v>
      </c>
      <c r="J2721" s="12" t="str">
        <f>HYPERLINK("https://www.boe.es/gazeta/dias/1803/03/11/pdfs/GMD-1803-20.pdf#page=3","Abrir facsímil")</f>
        <v>Abrir facsímil</v>
      </c>
      <c r="K2721" s="15" t="s">
        <v>23</v>
      </c>
    </row>
    <row r="2722" spans="1:11" ht="42" customHeight="1">
      <c r="A2722" s="4" t="s">
        <v>6875</v>
      </c>
      <c r="B2722" s="5" t="s">
        <v>6876</v>
      </c>
      <c r="C2722" s="5" t="s">
        <v>51</v>
      </c>
      <c r="D2722" s="5" t="s">
        <v>52</v>
      </c>
      <c r="E2722" s="5" t="s">
        <v>258</v>
      </c>
      <c r="F2722" s="9">
        <v>7</v>
      </c>
      <c r="G2722" s="9">
        <v>68</v>
      </c>
      <c r="H2722" s="5" t="s">
        <v>21</v>
      </c>
      <c r="I2722" s="5" t="s">
        <v>6877</v>
      </c>
      <c r="J2722" s="12" t="str">
        <f>HYPERLINK("https://www.boe.es/gazeta/dias/1803/01/25/pdfs/GMD-1803-7.pdf#page=8","Abrir facsímil")</f>
        <v>Abrir facsímil</v>
      </c>
      <c r="K2722" s="15" t="s">
        <v>23</v>
      </c>
    </row>
    <row r="2723" spans="1:11" ht="42" customHeight="1">
      <c r="A2723" s="4" t="s">
        <v>6875</v>
      </c>
      <c r="B2723" s="5" t="s">
        <v>6876</v>
      </c>
      <c r="C2723" s="5" t="s">
        <v>40</v>
      </c>
      <c r="D2723" s="5" t="s">
        <v>41</v>
      </c>
      <c r="E2723" s="5" t="s">
        <v>189</v>
      </c>
      <c r="F2723" s="9">
        <v>9</v>
      </c>
      <c r="G2723" s="9">
        <v>90</v>
      </c>
      <c r="H2723" s="5" t="s">
        <v>21</v>
      </c>
      <c r="I2723" s="5" t="s">
        <v>6878</v>
      </c>
      <c r="J2723" s="12" t="str">
        <f>HYPERLINK("https://www.boe.es/gazeta/dias/1803/02/01/pdfs/GMD-1803-9.pdf#page=6","Abrir facsímil")</f>
        <v>Abrir facsímil</v>
      </c>
      <c r="K2723" s="15" t="s">
        <v>23</v>
      </c>
    </row>
    <row r="2724" spans="1:11" ht="42" customHeight="1">
      <c r="A2724" s="4" t="s">
        <v>6875</v>
      </c>
      <c r="B2724" s="5" t="s">
        <v>6876</v>
      </c>
      <c r="C2724" s="5" t="s">
        <v>26</v>
      </c>
      <c r="D2724" s="5" t="s">
        <v>27</v>
      </c>
      <c r="E2724" s="5" t="s">
        <v>88</v>
      </c>
      <c r="F2724" s="9">
        <v>18</v>
      </c>
      <c r="G2724" s="9">
        <v>183</v>
      </c>
      <c r="H2724" s="5" t="s">
        <v>21</v>
      </c>
      <c r="I2724" s="5" t="s">
        <v>6879</v>
      </c>
      <c r="J2724" s="12" t="str">
        <f>HYPERLINK("https://www.boe.es/gazeta/dias/1803/03/04/pdfs/GMD-1803-18.pdf#page=3","Abrir facsímil")</f>
        <v>Abrir facsímil</v>
      </c>
      <c r="K2724" s="15" t="s">
        <v>23</v>
      </c>
    </row>
    <row r="2725" spans="1:11" ht="42" customHeight="1">
      <c r="A2725" s="4" t="s">
        <v>6875</v>
      </c>
      <c r="B2725" s="5" t="s">
        <v>6876</v>
      </c>
      <c r="C2725" s="5" t="s">
        <v>51</v>
      </c>
      <c r="D2725" s="5" t="s">
        <v>52</v>
      </c>
      <c r="E2725" s="5" t="s">
        <v>88</v>
      </c>
      <c r="F2725" s="9">
        <v>18</v>
      </c>
      <c r="G2725" s="9">
        <v>185</v>
      </c>
      <c r="H2725" s="5" t="s">
        <v>21</v>
      </c>
      <c r="I2725" s="5" t="s">
        <v>6880</v>
      </c>
      <c r="J2725" s="12" t="str">
        <f>HYPERLINK("https://www.boe.es/gazeta/dias/1803/03/04/pdfs/GMD-1803-18.pdf#page=5","Abrir facsímil")</f>
        <v>Abrir facsímil</v>
      </c>
      <c r="K2725" s="15" t="s">
        <v>23</v>
      </c>
    </row>
    <row r="2726" spans="1:11" ht="42" customHeight="1">
      <c r="A2726" s="4" t="s">
        <v>6875</v>
      </c>
      <c r="B2726" s="5" t="s">
        <v>6876</v>
      </c>
      <c r="C2726" s="5" t="s">
        <v>40</v>
      </c>
      <c r="D2726" s="5" t="s">
        <v>41</v>
      </c>
      <c r="E2726" s="5" t="s">
        <v>124</v>
      </c>
      <c r="F2726" s="9">
        <v>20</v>
      </c>
      <c r="G2726" s="9">
        <v>208</v>
      </c>
      <c r="H2726" s="5" t="s">
        <v>21</v>
      </c>
      <c r="I2726" s="5" t="s">
        <v>6881</v>
      </c>
      <c r="J2726" s="12" t="str">
        <f>HYPERLINK("https://www.boe.es/gazeta/dias/1803/03/11/pdfs/GMD-1803-20.pdf#page=4","Abrir facsímil")</f>
        <v>Abrir facsímil</v>
      </c>
      <c r="K2726" s="15" t="s">
        <v>23</v>
      </c>
    </row>
    <row r="2727" spans="1:11" ht="42" customHeight="1">
      <c r="A2727" s="4" t="s">
        <v>6875</v>
      </c>
      <c r="B2727" s="5" t="s">
        <v>6876</v>
      </c>
      <c r="C2727" s="5" t="s">
        <v>40</v>
      </c>
      <c r="D2727" s="5" t="s">
        <v>41</v>
      </c>
      <c r="E2727" s="5" t="s">
        <v>272</v>
      </c>
      <c r="F2727" s="9">
        <v>25</v>
      </c>
      <c r="G2727" s="9">
        <v>263</v>
      </c>
      <c r="H2727" s="5" t="s">
        <v>21</v>
      </c>
      <c r="I2727" s="5" t="s">
        <v>6882</v>
      </c>
      <c r="J2727" s="12" t="str">
        <f>HYPERLINK("https://www.boe.es/gazeta/dias/1803/03/29/pdfs/GMD-1803-25.pdf#page=3","Abrir facsímil")</f>
        <v>Abrir facsímil</v>
      </c>
      <c r="K2727" s="15" t="s">
        <v>23</v>
      </c>
    </row>
    <row r="2728" spans="1:11" ht="42" customHeight="1">
      <c r="A2728" s="4" t="s">
        <v>6875</v>
      </c>
      <c r="B2728" s="5" t="s">
        <v>6876</v>
      </c>
      <c r="C2728" s="5" t="s">
        <v>40</v>
      </c>
      <c r="D2728" s="5" t="s">
        <v>41</v>
      </c>
      <c r="E2728" s="5" t="s">
        <v>373</v>
      </c>
      <c r="F2728" s="9">
        <v>77</v>
      </c>
      <c r="G2728" s="9">
        <v>831</v>
      </c>
      <c r="H2728" s="5" t="s">
        <v>21</v>
      </c>
      <c r="I2728" s="5" t="s">
        <v>6883</v>
      </c>
      <c r="J2728" s="12" t="str">
        <f>HYPERLINK("https://www.boe.es/gazeta/dias/1803/09/23/pdfs/GMD-1803-77.pdf#page=7","Abrir facsímil")</f>
        <v>Abrir facsímil</v>
      </c>
      <c r="K2728" s="15" t="s">
        <v>23</v>
      </c>
    </row>
    <row r="2729" spans="1:11" ht="42" customHeight="1">
      <c r="A2729" s="4" t="s">
        <v>6884</v>
      </c>
      <c r="B2729" s="5" t="s">
        <v>6885</v>
      </c>
      <c r="C2729" s="5" t="s">
        <v>46</v>
      </c>
      <c r="D2729" s="5" t="s">
        <v>19</v>
      </c>
      <c r="E2729" s="5" t="s">
        <v>71</v>
      </c>
      <c r="F2729" s="9">
        <v>39</v>
      </c>
      <c r="G2729" s="9">
        <v>414</v>
      </c>
      <c r="H2729" s="5" t="s">
        <v>21</v>
      </c>
      <c r="I2729" s="5" t="s">
        <v>6886</v>
      </c>
      <c r="J2729" s="12" t="str">
        <f>HYPERLINK("https://www.boe.es/gazeta/dias/1803/05/17/pdfs/GMD-1803-39.pdf#page=10","Abrir facsímil")</f>
        <v>Abrir facsímil</v>
      </c>
      <c r="K2729" s="15" t="s">
        <v>23</v>
      </c>
    </row>
    <row r="2730" spans="1:11" ht="42" customHeight="1">
      <c r="A2730" s="4" t="s">
        <v>6887</v>
      </c>
      <c r="B2730" s="5" t="s">
        <v>6888</v>
      </c>
      <c r="C2730" s="5" t="s">
        <v>40</v>
      </c>
      <c r="D2730" s="5" t="s">
        <v>41</v>
      </c>
      <c r="E2730" s="5" t="s">
        <v>189</v>
      </c>
      <c r="F2730" s="9">
        <v>9</v>
      </c>
      <c r="G2730" s="9">
        <v>90</v>
      </c>
      <c r="H2730" s="5" t="s">
        <v>21</v>
      </c>
      <c r="I2730" s="5" t="s">
        <v>6889</v>
      </c>
      <c r="J2730" s="12" t="str">
        <f>HYPERLINK("https://www.boe.es/gazeta/dias/1803/02/01/pdfs/GMD-1803-9.pdf#page=6","Abrir facsímil")</f>
        <v>Abrir facsímil</v>
      </c>
      <c r="K2730" s="15" t="s">
        <v>23</v>
      </c>
    </row>
    <row r="2731" spans="1:11" ht="42" customHeight="1">
      <c r="A2731" s="4" t="s">
        <v>6890</v>
      </c>
      <c r="B2731" s="5" t="s">
        <v>6891</v>
      </c>
      <c r="C2731" s="5" t="s">
        <v>51</v>
      </c>
      <c r="D2731" s="5" t="s">
        <v>52</v>
      </c>
      <c r="E2731" s="5" t="s">
        <v>189</v>
      </c>
      <c r="F2731" s="9">
        <v>9</v>
      </c>
      <c r="G2731" s="9">
        <v>91</v>
      </c>
      <c r="H2731" s="5" t="s">
        <v>21</v>
      </c>
      <c r="I2731" s="5" t="s">
        <v>6892</v>
      </c>
      <c r="J2731" s="12" t="str">
        <f>HYPERLINK("https://www.boe.es/gazeta/dias/1803/02/01/pdfs/GMD-1803-9.pdf#page=7","Abrir facsímil")</f>
        <v>Abrir facsímil</v>
      </c>
      <c r="K2731" s="15" t="s">
        <v>23</v>
      </c>
    </row>
    <row r="2732" spans="1:11" ht="42" customHeight="1">
      <c r="A2732" s="4" t="s">
        <v>6890</v>
      </c>
      <c r="B2732" s="5" t="s">
        <v>6891</v>
      </c>
      <c r="C2732" s="5" t="s">
        <v>40</v>
      </c>
      <c r="D2732" s="5" t="s">
        <v>41</v>
      </c>
      <c r="E2732" s="5" t="s">
        <v>514</v>
      </c>
      <c r="F2732" s="9">
        <v>42</v>
      </c>
      <c r="G2732" s="9">
        <v>437</v>
      </c>
      <c r="H2732" s="5" t="s">
        <v>21</v>
      </c>
      <c r="I2732" s="5" t="s">
        <v>6893</v>
      </c>
      <c r="J2732" s="12" t="str">
        <f>HYPERLINK("https://www.boe.es/gazeta/dias/1803/05/27/pdfs/GMD-1803-42.pdf#page=5","Abrir facsímil")</f>
        <v>Abrir facsímil</v>
      </c>
      <c r="K2732" s="15" t="s">
        <v>23</v>
      </c>
    </row>
    <row r="2733" spans="1:11" ht="42" customHeight="1">
      <c r="A2733" s="4" t="s">
        <v>6894</v>
      </c>
      <c r="B2733" s="5" t="s">
        <v>6895</v>
      </c>
      <c r="C2733" s="5" t="s">
        <v>40</v>
      </c>
      <c r="D2733" s="5" t="s">
        <v>41</v>
      </c>
      <c r="E2733" s="5" t="s">
        <v>496</v>
      </c>
      <c r="F2733" s="9">
        <v>90</v>
      </c>
      <c r="G2733" s="9">
        <v>964</v>
      </c>
      <c r="H2733" s="5" t="s">
        <v>21</v>
      </c>
      <c r="I2733" s="5" t="s">
        <v>6896</v>
      </c>
      <c r="J2733" s="12" t="str">
        <f>HYPERLINK("https://www.boe.es/gazeta/dias/1803/11/08/pdfs/GMD-1803-90.pdf#page=4","Abrir facsímil")</f>
        <v>Abrir facsímil</v>
      </c>
      <c r="K2733" s="15" t="s">
        <v>23</v>
      </c>
    </row>
    <row r="2734" spans="1:11" ht="42" customHeight="1">
      <c r="A2734" s="4" t="s">
        <v>6897</v>
      </c>
      <c r="B2734" s="5" t="s">
        <v>6897</v>
      </c>
      <c r="C2734" s="5" t="s">
        <v>26</v>
      </c>
      <c r="D2734" s="5" t="s">
        <v>27</v>
      </c>
      <c r="E2734" s="5" t="s">
        <v>71</v>
      </c>
      <c r="F2734" s="9">
        <v>39</v>
      </c>
      <c r="G2734" s="9">
        <v>415</v>
      </c>
      <c r="H2734" s="5" t="s">
        <v>21</v>
      </c>
      <c r="I2734" s="5" t="s">
        <v>6898</v>
      </c>
      <c r="J2734" s="12" t="str">
        <f>HYPERLINK("https://www.boe.es/gazeta/dias/1803/05/17/pdfs/GMD-1803-39.pdf#page=11","Abrir facsímil")</f>
        <v>Abrir facsímil</v>
      </c>
      <c r="K2734" s="15" t="s">
        <v>23</v>
      </c>
    </row>
    <row r="2735" spans="1:11" ht="42" customHeight="1">
      <c r="A2735" s="4" t="s">
        <v>6899</v>
      </c>
      <c r="B2735" s="5" t="s">
        <v>6900</v>
      </c>
      <c r="C2735" s="5" t="s">
        <v>26</v>
      </c>
      <c r="D2735" s="5" t="s">
        <v>27</v>
      </c>
      <c r="E2735" s="5" t="s">
        <v>189</v>
      </c>
      <c r="F2735" s="9">
        <v>9</v>
      </c>
      <c r="G2735" s="9">
        <v>93</v>
      </c>
      <c r="H2735" s="5" t="s">
        <v>21</v>
      </c>
      <c r="I2735" s="5" t="s">
        <v>6901</v>
      </c>
      <c r="J2735" s="12" t="str">
        <f>HYPERLINK("https://www.boe.es/gazeta/dias/1803/02/01/pdfs/GMD-1803-9.pdf#page=9","Abrir facsímil")</f>
        <v>Abrir facsímil</v>
      </c>
      <c r="K2735" s="15" t="s">
        <v>23</v>
      </c>
    </row>
    <row r="2736" spans="1:11" ht="42" customHeight="1">
      <c r="A2736" s="4" t="s">
        <v>6902</v>
      </c>
      <c r="B2736" s="5" t="s">
        <v>6902</v>
      </c>
      <c r="C2736" s="5" t="s">
        <v>51</v>
      </c>
      <c r="D2736" s="5" t="s">
        <v>52</v>
      </c>
      <c r="E2736" s="5" t="s">
        <v>203</v>
      </c>
      <c r="F2736" s="9">
        <v>32</v>
      </c>
      <c r="G2736" s="9">
        <v>335</v>
      </c>
      <c r="H2736" s="5" t="s">
        <v>21</v>
      </c>
      <c r="I2736" s="5" t="s">
        <v>6903</v>
      </c>
      <c r="J2736" s="12" t="str">
        <f>HYPERLINK("https://www.boe.es/gazeta/dias/1803/04/22/pdfs/GMD-1803-32.pdf#page=7","Abrir facsímil")</f>
        <v>Abrir facsímil</v>
      </c>
      <c r="K2736" s="15" t="s">
        <v>23</v>
      </c>
    </row>
    <row r="2737" spans="1:11" ht="42" customHeight="1">
      <c r="A2737" s="4" t="s">
        <v>6904</v>
      </c>
      <c r="B2737" s="5" t="s">
        <v>6905</v>
      </c>
      <c r="C2737" s="5" t="s">
        <v>18</v>
      </c>
      <c r="D2737" s="5" t="s">
        <v>19</v>
      </c>
      <c r="E2737" s="5" t="s">
        <v>321</v>
      </c>
      <c r="F2737" s="9">
        <v>94</v>
      </c>
      <c r="G2737" s="9">
        <v>1009</v>
      </c>
      <c r="H2737" s="5" t="s">
        <v>21</v>
      </c>
      <c r="I2737" s="5" t="s">
        <v>6906</v>
      </c>
      <c r="J2737" s="12" t="str">
        <f>HYPERLINK("https://www.boe.es/gazeta/dias/1803/11/22/pdfs/GMD-1803-94.pdf#page=9","Abrir facsímil")</f>
        <v>Abrir facsímil</v>
      </c>
      <c r="K2737" s="15" t="s">
        <v>23</v>
      </c>
    </row>
    <row r="2738" spans="1:11" ht="42" customHeight="1">
      <c r="A2738" s="4" t="s">
        <v>6907</v>
      </c>
      <c r="B2738" s="5" t="s">
        <v>6908</v>
      </c>
      <c r="C2738" s="5" t="s">
        <v>18</v>
      </c>
      <c r="D2738" s="5" t="s">
        <v>19</v>
      </c>
      <c r="E2738" s="5" t="s">
        <v>321</v>
      </c>
      <c r="F2738" s="9">
        <v>94</v>
      </c>
      <c r="G2738" s="9">
        <v>1009</v>
      </c>
      <c r="H2738" s="5" t="s">
        <v>21</v>
      </c>
      <c r="I2738" s="5" t="s">
        <v>6909</v>
      </c>
      <c r="J2738" s="12" t="str">
        <f>HYPERLINK("https://www.boe.es/gazeta/dias/1803/11/22/pdfs/GMD-1803-94.pdf#page=9","Abrir facsímil")</f>
        <v>Abrir facsímil</v>
      </c>
      <c r="K2738" s="15" t="s">
        <v>23</v>
      </c>
    </row>
    <row r="2739" spans="1:11" ht="42" customHeight="1">
      <c r="A2739" s="4" t="s">
        <v>6910</v>
      </c>
      <c r="B2739" s="5" t="s">
        <v>6911</v>
      </c>
      <c r="C2739" s="5" t="s">
        <v>26</v>
      </c>
      <c r="D2739" s="5" t="s">
        <v>27</v>
      </c>
      <c r="E2739" s="5" t="s">
        <v>369</v>
      </c>
      <c r="F2739" s="9">
        <v>100</v>
      </c>
      <c r="G2739" s="9">
        <v>1073</v>
      </c>
      <c r="H2739" s="5" t="s">
        <v>21</v>
      </c>
      <c r="I2739" s="5" t="s">
        <v>6912</v>
      </c>
      <c r="J2739" s="12" t="str">
        <f>HYPERLINK("https://www.boe.es/gazeta/dias/1803/12/13/pdfs/GMD-1803-100.pdf#page=9","Abrir facsímil")</f>
        <v>Abrir facsímil</v>
      </c>
      <c r="K2739" s="15" t="s">
        <v>23</v>
      </c>
    </row>
    <row r="2740" spans="1:11" ht="42" customHeight="1">
      <c r="A2740" s="4" t="s">
        <v>6913</v>
      </c>
      <c r="B2740" s="5" t="s">
        <v>6913</v>
      </c>
      <c r="C2740" s="5" t="s">
        <v>26</v>
      </c>
      <c r="D2740" s="5" t="s">
        <v>27</v>
      </c>
      <c r="E2740" s="5" t="s">
        <v>373</v>
      </c>
      <c r="F2740" s="9">
        <v>77</v>
      </c>
      <c r="G2740" s="9">
        <v>834</v>
      </c>
      <c r="H2740" s="5" t="s">
        <v>21</v>
      </c>
      <c r="I2740" s="5" t="s">
        <v>6914</v>
      </c>
      <c r="J2740" s="12" t="str">
        <f>HYPERLINK("https://www.boe.es/gazeta/dias/1803/09/23/pdfs/GMD-1803-77.pdf#page=10","Abrir facsímil")</f>
        <v>Abrir facsímil</v>
      </c>
      <c r="K2740" s="15" t="s">
        <v>23</v>
      </c>
    </row>
    <row r="2741" spans="1:11" ht="42" customHeight="1">
      <c r="A2741" s="4" t="s">
        <v>6915</v>
      </c>
      <c r="B2741" s="5" t="s">
        <v>6915</v>
      </c>
      <c r="C2741" s="5" t="s">
        <v>26</v>
      </c>
      <c r="D2741" s="5" t="s">
        <v>27</v>
      </c>
      <c r="E2741" s="5" t="s">
        <v>28</v>
      </c>
      <c r="F2741" s="9">
        <v>92</v>
      </c>
      <c r="G2741" s="9">
        <v>986</v>
      </c>
      <c r="H2741" s="5" t="s">
        <v>21</v>
      </c>
      <c r="I2741" s="5" t="s">
        <v>6916</v>
      </c>
      <c r="J2741" s="12" t="str">
        <f>HYPERLINK("https://www.boe.es/gazeta/dias/1803/11/15/pdfs/GMD-1803-92.pdf#page=6","Abrir facsímil")</f>
        <v>Abrir facsímil</v>
      </c>
      <c r="K2741" s="15" t="s">
        <v>23</v>
      </c>
    </row>
    <row r="2742" spans="1:11" ht="42" customHeight="1">
      <c r="A2742" s="4" t="s">
        <v>6917</v>
      </c>
      <c r="B2742" s="5" t="s">
        <v>6918</v>
      </c>
      <c r="C2742" s="5" t="s">
        <v>51</v>
      </c>
      <c r="D2742" s="5" t="s">
        <v>52</v>
      </c>
      <c r="E2742" s="5" t="s">
        <v>784</v>
      </c>
      <c r="F2742" s="9">
        <v>86</v>
      </c>
      <c r="G2742" s="9">
        <v>930</v>
      </c>
      <c r="H2742" s="5" t="s">
        <v>21</v>
      </c>
      <c r="I2742" s="5" t="s">
        <v>6919</v>
      </c>
      <c r="J2742" s="12" t="str">
        <f>HYPERLINK("https://www.boe.es/gazeta/dias/1803/10/25/pdfs/GMD-1803-86.pdf#page=10","Abrir facsímil")</f>
        <v>Abrir facsímil</v>
      </c>
      <c r="K2742" s="15" t="s">
        <v>23</v>
      </c>
    </row>
    <row r="2743" spans="1:11" ht="42" customHeight="1">
      <c r="A2743" s="4" t="s">
        <v>6920</v>
      </c>
      <c r="B2743" s="5" t="s">
        <v>6920</v>
      </c>
      <c r="C2743" s="5" t="s">
        <v>26</v>
      </c>
      <c r="D2743" s="5" t="s">
        <v>27</v>
      </c>
      <c r="E2743" s="5" t="s">
        <v>289</v>
      </c>
      <c r="F2743" s="9">
        <v>38</v>
      </c>
      <c r="G2743" s="9">
        <v>401</v>
      </c>
      <c r="H2743" s="5" t="s">
        <v>21</v>
      </c>
      <c r="I2743" s="5" t="s">
        <v>6921</v>
      </c>
      <c r="J2743" s="12" t="str">
        <f>HYPERLINK("https://www.boe.es/gazeta/dias/1803/05/13/pdfs/GMD-1803-38.pdf#page=9","Abrir facsímil")</f>
        <v>Abrir facsímil</v>
      </c>
      <c r="K2743" s="15" t="s">
        <v>23</v>
      </c>
    </row>
    <row r="2744" spans="1:11" ht="42" customHeight="1">
      <c r="A2744" s="4" t="s">
        <v>6922</v>
      </c>
      <c r="B2744" s="5" t="s">
        <v>6922</v>
      </c>
      <c r="C2744" s="5" t="s">
        <v>80</v>
      </c>
      <c r="D2744" s="5" t="s">
        <v>81</v>
      </c>
      <c r="E2744" s="5" t="s">
        <v>369</v>
      </c>
      <c r="F2744" s="9">
        <v>100</v>
      </c>
      <c r="G2744" s="9">
        <v>1074</v>
      </c>
      <c r="H2744" s="5" t="s">
        <v>21</v>
      </c>
      <c r="I2744" s="5" t="s">
        <v>6923</v>
      </c>
      <c r="J2744" s="12" t="str">
        <f>HYPERLINK("https://www.boe.es/gazeta/dias/1803/12/13/pdfs/GMD-1803-100.pdf#page=10","Abrir facsímil")</f>
        <v>Abrir facsímil</v>
      </c>
      <c r="K2744" s="15" t="s">
        <v>23</v>
      </c>
    </row>
    <row r="2745" spans="1:11" ht="42" customHeight="1">
      <c r="A2745" s="4" t="s">
        <v>6924</v>
      </c>
      <c r="B2745" s="5" t="s">
        <v>6924</v>
      </c>
      <c r="C2745" s="5" t="s">
        <v>26</v>
      </c>
      <c r="D2745" s="5" t="s">
        <v>27</v>
      </c>
      <c r="E2745" s="5" t="s">
        <v>752</v>
      </c>
      <c r="F2745" s="9">
        <v>30</v>
      </c>
      <c r="G2745" s="9">
        <v>320</v>
      </c>
      <c r="H2745" s="5" t="s">
        <v>21</v>
      </c>
      <c r="I2745" s="5" t="s">
        <v>6925</v>
      </c>
      <c r="J2745" s="12" t="str">
        <f>HYPERLINK("https://www.boe.es/gazeta/dias/1803/04/15/pdfs/GMD-1803-30.pdf#page=8","Abrir facsímil")</f>
        <v>Abrir facsímil</v>
      </c>
      <c r="K2745" s="15" t="s">
        <v>23</v>
      </c>
    </row>
    <row r="2746" spans="1:11" ht="42" customHeight="1">
      <c r="A2746" s="4" t="s">
        <v>6926</v>
      </c>
      <c r="B2746" s="5" t="s">
        <v>6926</v>
      </c>
      <c r="C2746" s="5" t="s">
        <v>26</v>
      </c>
      <c r="D2746" s="5" t="s">
        <v>27</v>
      </c>
      <c r="E2746" s="5" t="s">
        <v>407</v>
      </c>
      <c r="F2746" s="9">
        <v>82</v>
      </c>
      <c r="G2746" s="9">
        <v>886</v>
      </c>
      <c r="H2746" s="5" t="s">
        <v>21</v>
      </c>
      <c r="I2746" s="5" t="s">
        <v>6927</v>
      </c>
      <c r="J2746" s="12" t="str">
        <f>HYPERLINK("https://www.boe.es/gazeta/dias/1803/10/11/pdfs/GMD-1803-82.pdf#page=10","Abrir facsímil")</f>
        <v>Abrir facsímil</v>
      </c>
      <c r="K2746" s="15" t="s">
        <v>23</v>
      </c>
    </row>
    <row r="2747" spans="1:11" ht="42" customHeight="1">
      <c r="A2747" s="4" t="s">
        <v>6928</v>
      </c>
      <c r="B2747" s="5" t="s">
        <v>6928</v>
      </c>
      <c r="C2747" s="5" t="s">
        <v>26</v>
      </c>
      <c r="D2747" s="5" t="s">
        <v>27</v>
      </c>
      <c r="E2747" s="5" t="s">
        <v>417</v>
      </c>
      <c r="F2747" s="9">
        <v>72</v>
      </c>
      <c r="G2747" s="9">
        <v>786</v>
      </c>
      <c r="H2747" s="5" t="s">
        <v>21</v>
      </c>
      <c r="I2747" s="5" t="s">
        <v>6929</v>
      </c>
      <c r="J2747" s="12" t="str">
        <f>HYPERLINK("https://www.boe.es/gazeta/dias/1803/09/09/pdfs/GMD-1803-72.pdf#page=6","Abrir facsímil")</f>
        <v>Abrir facsímil</v>
      </c>
      <c r="K2747" s="15" t="s">
        <v>23</v>
      </c>
    </row>
    <row r="2748" spans="1:11" ht="42" customHeight="1">
      <c r="A2748" s="4" t="s">
        <v>6930</v>
      </c>
      <c r="B2748" s="5" t="s">
        <v>6931</v>
      </c>
      <c r="C2748" s="5" t="s">
        <v>51</v>
      </c>
      <c r="D2748" s="5" t="s">
        <v>52</v>
      </c>
      <c r="E2748" s="5" t="s">
        <v>85</v>
      </c>
      <c r="F2748" s="9">
        <v>49</v>
      </c>
      <c r="G2748" s="9">
        <v>520</v>
      </c>
      <c r="H2748" s="5" t="s">
        <v>21</v>
      </c>
      <c r="I2748" s="5" t="s">
        <v>6932</v>
      </c>
      <c r="J2748" s="12" t="str">
        <f>HYPERLINK("https://www.boe.es/gazeta/dias/1803/06/21/pdfs/GMD-1803-49.pdf#page=8","Abrir facsímil")</f>
        <v>Abrir facsímil</v>
      </c>
      <c r="K2748" s="15" t="s">
        <v>23</v>
      </c>
    </row>
    <row r="2749" spans="1:11" ht="42" customHeight="1">
      <c r="A2749" s="4" t="s">
        <v>6930</v>
      </c>
      <c r="B2749" s="5" t="s">
        <v>6931</v>
      </c>
      <c r="C2749" s="5" t="s">
        <v>40</v>
      </c>
      <c r="D2749" s="5" t="s">
        <v>41</v>
      </c>
      <c r="E2749" s="5" t="s">
        <v>328</v>
      </c>
      <c r="F2749" s="9">
        <v>54</v>
      </c>
      <c r="G2749" s="9">
        <v>589</v>
      </c>
      <c r="H2749" s="5" t="s">
        <v>21</v>
      </c>
      <c r="I2749" s="5" t="s">
        <v>6933</v>
      </c>
      <c r="J2749" s="12" t="str">
        <f>HYPERLINK("https://www.boe.es/gazeta/dias/1803/07/08/pdfs/GMD-1803-54.pdf#page=9","Abrir facsímil")</f>
        <v>Abrir facsímil</v>
      </c>
      <c r="K2749" s="15" t="s">
        <v>23</v>
      </c>
    </row>
    <row r="2750" spans="1:11" ht="42" customHeight="1">
      <c r="A2750" s="4" t="s">
        <v>6934</v>
      </c>
      <c r="B2750" s="5" t="s">
        <v>6934</v>
      </c>
      <c r="C2750" s="5" t="s">
        <v>40</v>
      </c>
      <c r="D2750" s="5" t="s">
        <v>41</v>
      </c>
      <c r="E2750" s="5" t="s">
        <v>477</v>
      </c>
      <c r="F2750" s="9">
        <v>48</v>
      </c>
      <c r="G2750" s="9">
        <v>501</v>
      </c>
      <c r="H2750" s="5" t="s">
        <v>21</v>
      </c>
      <c r="I2750" s="5" t="s">
        <v>6935</v>
      </c>
      <c r="J2750" s="12" t="str">
        <f>HYPERLINK("https://www.boe.es/gazeta/dias/1803/06/17/pdfs/GMD-1803-48.pdf#page=1","Abrir facsímil")</f>
        <v>Abrir facsímil</v>
      </c>
      <c r="K2750" s="15" t="s">
        <v>23</v>
      </c>
    </row>
    <row r="2751" spans="1:11" ht="42" customHeight="1">
      <c r="A2751" s="4" t="s">
        <v>6936</v>
      </c>
      <c r="B2751" s="5" t="s">
        <v>6937</v>
      </c>
      <c r="C2751" s="5" t="s">
        <v>26</v>
      </c>
      <c r="D2751" s="5" t="s">
        <v>27</v>
      </c>
      <c r="E2751" s="5" t="s">
        <v>132</v>
      </c>
      <c r="F2751" s="9">
        <v>58</v>
      </c>
      <c r="G2751" s="9">
        <v>638</v>
      </c>
      <c r="H2751" s="5" t="s">
        <v>21</v>
      </c>
      <c r="I2751" s="5" t="s">
        <v>6938</v>
      </c>
      <c r="J2751" s="12" t="str">
        <f>HYPERLINK("https://www.boe.es/gazeta/dias/1803/07/22/pdfs/GMD-1803-58.pdf#page=10","Abrir facsímil")</f>
        <v>Abrir facsímil</v>
      </c>
      <c r="K2751" s="15" t="s">
        <v>23</v>
      </c>
    </row>
    <row r="2752" spans="1:11" ht="42" customHeight="1">
      <c r="A2752" s="4" t="s">
        <v>6939</v>
      </c>
      <c r="B2752" s="5" t="s">
        <v>6940</v>
      </c>
      <c r="C2752" s="5" t="s">
        <v>51</v>
      </c>
      <c r="D2752" s="5" t="s">
        <v>52</v>
      </c>
      <c r="E2752" s="5" t="s">
        <v>47</v>
      </c>
      <c r="F2752" s="9">
        <v>33</v>
      </c>
      <c r="G2752" s="9">
        <v>351</v>
      </c>
      <c r="H2752" s="5" t="s">
        <v>21</v>
      </c>
      <c r="I2752" s="5" t="s">
        <v>6941</v>
      </c>
      <c r="J2752" s="12" t="str">
        <f>HYPERLINK("https://www.boe.es/gazeta/dias/1803/04/26/pdfs/GMD-1803-33.pdf#page=11","Abrir facsímil")</f>
        <v>Abrir facsímil</v>
      </c>
      <c r="K2752" s="15" t="s">
        <v>23</v>
      </c>
    </row>
    <row r="2753" spans="1:11" ht="42" customHeight="1">
      <c r="A2753" s="4" t="s">
        <v>6942</v>
      </c>
      <c r="B2753" s="5" t="s">
        <v>6943</v>
      </c>
      <c r="C2753" s="5" t="s">
        <v>26</v>
      </c>
      <c r="D2753" s="5" t="s">
        <v>27</v>
      </c>
      <c r="E2753" s="5" t="s">
        <v>207</v>
      </c>
      <c r="F2753" s="9">
        <v>27</v>
      </c>
      <c r="G2753" s="9">
        <v>293</v>
      </c>
      <c r="H2753" s="5" t="s">
        <v>21</v>
      </c>
      <c r="I2753" s="5" t="s">
        <v>6944</v>
      </c>
      <c r="J2753" s="12" t="str">
        <f>HYPERLINK("https://www.boe.es/gazeta/dias/1803/04/05/pdfs/GMD-1803-27.pdf#page=9","Abrir facsímil")</f>
        <v>Abrir facsímil</v>
      </c>
      <c r="K2753" s="15" t="s">
        <v>23</v>
      </c>
    </row>
    <row r="2754" spans="1:11" ht="42" customHeight="1">
      <c r="A2754" s="4" t="s">
        <v>6945</v>
      </c>
      <c r="B2754" s="5" t="s">
        <v>6945</v>
      </c>
      <c r="C2754" s="5" t="s">
        <v>40</v>
      </c>
      <c r="D2754" s="5" t="s">
        <v>41</v>
      </c>
      <c r="E2754" s="5" t="s">
        <v>113</v>
      </c>
      <c r="F2754" s="9">
        <v>93</v>
      </c>
      <c r="G2754" s="9">
        <v>994</v>
      </c>
      <c r="H2754" s="5" t="s">
        <v>21</v>
      </c>
      <c r="I2754" s="5" t="s">
        <v>6336</v>
      </c>
      <c r="J2754" s="12" t="str">
        <f>HYPERLINK("https://www.boe.es/gazeta/dias/1803/11/18/pdfs/GMD-1803-93.pdf#page=6","Abrir facsímil")</f>
        <v>Abrir facsímil</v>
      </c>
      <c r="K2754" s="15" t="s">
        <v>23</v>
      </c>
    </row>
    <row r="2755" spans="1:11" ht="42" customHeight="1">
      <c r="A2755" s="4" t="s">
        <v>6946</v>
      </c>
      <c r="B2755" s="5" t="s">
        <v>6947</v>
      </c>
      <c r="C2755" s="5" t="s">
        <v>46</v>
      </c>
      <c r="D2755" s="5" t="s">
        <v>19</v>
      </c>
      <c r="E2755" s="5" t="s">
        <v>174</v>
      </c>
      <c r="F2755" s="9">
        <v>21</v>
      </c>
      <c r="G2755" s="9">
        <v>226</v>
      </c>
      <c r="H2755" s="5" t="s">
        <v>21</v>
      </c>
      <c r="I2755" s="5" t="s">
        <v>6948</v>
      </c>
      <c r="J2755" s="12" t="str">
        <f>HYPERLINK("https://www.boe.es/gazeta/dias/1803/03/15/pdfs/GMD-1803-21.pdf#page=10","Abrir facsímil")</f>
        <v>Abrir facsímil</v>
      </c>
      <c r="K2755" s="15" t="s">
        <v>23</v>
      </c>
    </row>
    <row r="2756" spans="1:11" ht="42" customHeight="1">
      <c r="A2756" s="4" t="s">
        <v>6946</v>
      </c>
      <c r="B2756" s="5" t="s">
        <v>6947</v>
      </c>
      <c r="C2756" s="5" t="s">
        <v>46</v>
      </c>
      <c r="D2756" s="5" t="s">
        <v>19</v>
      </c>
      <c r="E2756" s="5" t="s">
        <v>609</v>
      </c>
      <c r="F2756" s="9">
        <v>57</v>
      </c>
      <c r="G2756" s="9">
        <v>622</v>
      </c>
      <c r="H2756" s="5" t="s">
        <v>21</v>
      </c>
      <c r="I2756" s="5" t="s">
        <v>6949</v>
      </c>
      <c r="J2756" s="12" t="str">
        <f>HYPERLINK("https://www.boe.es/gazeta/dias/1803/07/19/pdfs/GMD-C-1803-57.pdf#page=2","Abrir facsímil")</f>
        <v>Abrir facsímil</v>
      </c>
      <c r="K2756" s="15" t="s">
        <v>23</v>
      </c>
    </row>
    <row r="2757" spans="1:11" ht="42" customHeight="1">
      <c r="A2757" s="4" t="s">
        <v>6946</v>
      </c>
      <c r="B2757" s="5" t="s">
        <v>6947</v>
      </c>
      <c r="C2757" s="5" t="s">
        <v>46</v>
      </c>
      <c r="D2757" s="5" t="s">
        <v>19</v>
      </c>
      <c r="E2757" s="5" t="s">
        <v>113</v>
      </c>
      <c r="F2757" s="9">
        <v>93</v>
      </c>
      <c r="G2757" s="9">
        <v>997</v>
      </c>
      <c r="H2757" s="5" t="s">
        <v>21</v>
      </c>
      <c r="I2757" s="5" t="s">
        <v>6950</v>
      </c>
      <c r="J2757" s="12" t="str">
        <f>HYPERLINK("https://www.boe.es/gazeta/dias/1803/11/18/pdfs/GMD-1803-93.pdf#page=9","Abrir facsímil")</f>
        <v>Abrir facsímil</v>
      </c>
      <c r="K2757" s="15" t="s">
        <v>23</v>
      </c>
    </row>
    <row r="2758" spans="1:11" ht="42" customHeight="1">
      <c r="A2758" s="4" t="s">
        <v>6951</v>
      </c>
      <c r="B2758" s="5" t="s">
        <v>6952</v>
      </c>
      <c r="C2758" s="5" t="s">
        <v>26</v>
      </c>
      <c r="D2758" s="5" t="s">
        <v>27</v>
      </c>
      <c r="E2758" s="5" t="s">
        <v>289</v>
      </c>
      <c r="F2758" s="9">
        <v>38</v>
      </c>
      <c r="G2758" s="9">
        <v>401</v>
      </c>
      <c r="H2758" s="5" t="s">
        <v>21</v>
      </c>
      <c r="I2758" s="5" t="s">
        <v>6953</v>
      </c>
      <c r="J2758" s="12" t="str">
        <f>HYPERLINK("https://www.boe.es/gazeta/dias/1803/05/13/pdfs/GMD-1803-38.pdf#page=9","Abrir facsímil")</f>
        <v>Abrir facsímil</v>
      </c>
      <c r="K2758" s="15" t="s">
        <v>23</v>
      </c>
    </row>
    <row r="2759" spans="1:11" ht="42" customHeight="1">
      <c r="A2759" s="4" t="s">
        <v>6954</v>
      </c>
      <c r="B2759" s="5" t="s">
        <v>6955</v>
      </c>
      <c r="C2759" s="5" t="s">
        <v>26</v>
      </c>
      <c r="D2759" s="5" t="s">
        <v>27</v>
      </c>
      <c r="E2759" s="5" t="s">
        <v>278</v>
      </c>
      <c r="F2759" s="9">
        <v>46</v>
      </c>
      <c r="G2759" s="9">
        <v>487</v>
      </c>
      <c r="H2759" s="5" t="s">
        <v>21</v>
      </c>
      <c r="I2759" s="5" t="s">
        <v>6956</v>
      </c>
      <c r="J2759" s="12" t="str">
        <f>HYPERLINK("https://www.boe.es/gazeta/dias/1803/06/10/pdfs/GMD-1803-46.pdf#page=11","Abrir facsímil")</f>
        <v>Abrir facsímil</v>
      </c>
      <c r="K2759" s="15" t="s">
        <v>23</v>
      </c>
    </row>
    <row r="2760" spans="1:11" ht="42" customHeight="1">
      <c r="A2760" s="4" t="s">
        <v>6957</v>
      </c>
      <c r="B2760" s="5" t="s">
        <v>6958</v>
      </c>
      <c r="C2760" s="5" t="s">
        <v>40</v>
      </c>
      <c r="D2760" s="5" t="s">
        <v>41</v>
      </c>
      <c r="E2760" s="5" t="s">
        <v>321</v>
      </c>
      <c r="F2760" s="9">
        <v>94</v>
      </c>
      <c r="G2760" s="9">
        <v>1006</v>
      </c>
      <c r="H2760" s="5" t="s">
        <v>21</v>
      </c>
      <c r="I2760" s="5" t="s">
        <v>6959</v>
      </c>
      <c r="J2760" s="12" t="str">
        <f>HYPERLINK("https://www.boe.es/gazeta/dias/1803/11/22/pdfs/GMD-1803-94.pdf#page=6","Abrir facsímil")</f>
        <v>Abrir facsímil</v>
      </c>
      <c r="K2760" s="15" t="s">
        <v>23</v>
      </c>
    </row>
    <row r="2761" spans="1:11" ht="42" customHeight="1">
      <c r="A2761" s="4" t="s">
        <v>6960</v>
      </c>
      <c r="B2761" s="5" t="s">
        <v>6961</v>
      </c>
      <c r="C2761" s="5" t="s">
        <v>51</v>
      </c>
      <c r="D2761" s="5" t="s">
        <v>52</v>
      </c>
      <c r="E2761" s="5" t="s">
        <v>609</v>
      </c>
      <c r="F2761" s="9">
        <v>57</v>
      </c>
      <c r="G2761" s="9">
        <v>619</v>
      </c>
      <c r="H2761" s="5" t="s">
        <v>21</v>
      </c>
      <c r="I2761" s="5" t="s">
        <v>6962</v>
      </c>
      <c r="J2761" s="12" t="str">
        <f>HYPERLINK("https://www.boe.es/gazeta/dias/1803/07/19/pdfs/GMD-1803-57.pdf#page=7","Abrir facsímil")</f>
        <v>Abrir facsímil</v>
      </c>
      <c r="K2761" s="15" t="s">
        <v>23</v>
      </c>
    </row>
    <row r="2762" spans="1:11" ht="42" customHeight="1">
      <c r="A2762" s="4" t="s">
        <v>6963</v>
      </c>
      <c r="B2762" s="5" t="s">
        <v>6964</v>
      </c>
      <c r="C2762" s="5" t="s">
        <v>26</v>
      </c>
      <c r="D2762" s="5" t="s">
        <v>27</v>
      </c>
      <c r="E2762" s="5" t="s">
        <v>373</v>
      </c>
      <c r="F2762" s="9">
        <v>77</v>
      </c>
      <c r="G2762" s="9">
        <v>834</v>
      </c>
      <c r="H2762" s="5" t="s">
        <v>21</v>
      </c>
      <c r="I2762" s="5" t="s">
        <v>6965</v>
      </c>
      <c r="J2762" s="12" t="str">
        <f>HYPERLINK("https://www.boe.es/gazeta/dias/1803/09/23/pdfs/GMD-1803-77.pdf#page=10","Abrir facsímil")</f>
        <v>Abrir facsímil</v>
      </c>
      <c r="K2762" s="15" t="s">
        <v>23</v>
      </c>
    </row>
    <row r="2763" spans="1:11" ht="42" customHeight="1">
      <c r="A2763" s="4" t="s">
        <v>6966</v>
      </c>
      <c r="B2763" s="5" t="s">
        <v>6967</v>
      </c>
      <c r="C2763" s="5" t="s">
        <v>51</v>
      </c>
      <c r="D2763" s="5" t="s">
        <v>52</v>
      </c>
      <c r="E2763" s="5" t="s">
        <v>57</v>
      </c>
      <c r="F2763" s="9">
        <v>51</v>
      </c>
      <c r="G2763" s="9">
        <v>552</v>
      </c>
      <c r="H2763" s="5" t="s">
        <v>21</v>
      </c>
      <c r="I2763" s="5" t="s">
        <v>6968</v>
      </c>
      <c r="J2763" s="12" t="str">
        <f>HYPERLINK("https://www.boe.es/gazeta/dias/1803/06/28/pdfs/GMD-1803-51.pdf#page=8","Abrir facsímil")</f>
        <v>Abrir facsímil</v>
      </c>
      <c r="K2763" s="15" t="s">
        <v>23</v>
      </c>
    </row>
    <row r="2764" spans="1:11" ht="42" customHeight="1">
      <c r="A2764" s="4" t="s">
        <v>6969</v>
      </c>
      <c r="B2764" s="5" t="s">
        <v>6969</v>
      </c>
      <c r="C2764" s="5" t="s">
        <v>40</v>
      </c>
      <c r="D2764" s="5" t="s">
        <v>41</v>
      </c>
      <c r="E2764" s="5" t="s">
        <v>328</v>
      </c>
      <c r="F2764" s="9">
        <v>54</v>
      </c>
      <c r="G2764" s="9">
        <v>587</v>
      </c>
      <c r="H2764" s="5" t="s">
        <v>21</v>
      </c>
      <c r="I2764" s="5" t="s">
        <v>6970</v>
      </c>
      <c r="J2764" s="12" t="str">
        <f>HYPERLINK("https://www.boe.es/gazeta/dias/1803/07/08/pdfs/GMD-1803-54.pdf#page=7","Abrir facsímil")</f>
        <v>Abrir facsímil</v>
      </c>
      <c r="K2764" s="15" t="s">
        <v>23</v>
      </c>
    </row>
    <row r="2765" spans="1:11" ht="42" customHeight="1">
      <c r="A2765" s="4" t="s">
        <v>6969</v>
      </c>
      <c r="B2765" s="5" t="s">
        <v>6969</v>
      </c>
      <c r="C2765" s="5" t="s">
        <v>26</v>
      </c>
      <c r="D2765" s="5" t="s">
        <v>27</v>
      </c>
      <c r="E2765" s="5" t="s">
        <v>340</v>
      </c>
      <c r="F2765" s="9">
        <v>55</v>
      </c>
      <c r="G2765" s="9">
        <v>596</v>
      </c>
      <c r="H2765" s="5" t="s">
        <v>21</v>
      </c>
      <c r="I2765" s="5" t="s">
        <v>6971</v>
      </c>
      <c r="J2765" s="12" t="str">
        <f>HYPERLINK("https://www.boe.es/gazeta/dias/1803/07/12/pdfs/GMD-1803-55.pdf#page=4","Abrir facsímil")</f>
        <v>Abrir facsímil</v>
      </c>
      <c r="K2765" s="15" t="s">
        <v>23</v>
      </c>
    </row>
    <row r="2766" spans="1:11" ht="42" customHeight="1">
      <c r="A2766" s="4" t="s">
        <v>6969</v>
      </c>
      <c r="B2766" s="5" t="s">
        <v>6969</v>
      </c>
      <c r="C2766" s="5" t="s">
        <v>51</v>
      </c>
      <c r="D2766" s="5" t="s">
        <v>52</v>
      </c>
      <c r="E2766" s="5" t="s">
        <v>340</v>
      </c>
      <c r="F2766" s="9">
        <v>55</v>
      </c>
      <c r="G2766" s="9">
        <v>600</v>
      </c>
      <c r="H2766" s="5" t="s">
        <v>21</v>
      </c>
      <c r="I2766" s="5" t="s">
        <v>6972</v>
      </c>
      <c r="J2766" s="12" t="str">
        <f>HYPERLINK("https://www.boe.es/gazeta/dias/1803/07/12/pdfs/GMD-1803-55.pdf#page=8","Abrir facsímil")</f>
        <v>Abrir facsímil</v>
      </c>
      <c r="K2766" s="15" t="s">
        <v>23</v>
      </c>
    </row>
    <row r="2767" spans="1:11" ht="42" customHeight="1">
      <c r="A2767" s="4" t="s">
        <v>6969</v>
      </c>
      <c r="B2767" s="5" t="s">
        <v>6969</v>
      </c>
      <c r="C2767" s="5" t="s">
        <v>40</v>
      </c>
      <c r="D2767" s="5" t="s">
        <v>41</v>
      </c>
      <c r="E2767" s="5" t="s">
        <v>64</v>
      </c>
      <c r="F2767" s="9">
        <v>65</v>
      </c>
      <c r="G2767" s="9">
        <v>702</v>
      </c>
      <c r="H2767" s="5" t="s">
        <v>21</v>
      </c>
      <c r="I2767" s="5" t="s">
        <v>6973</v>
      </c>
      <c r="J2767" s="12" t="str">
        <f>HYPERLINK("https://www.boe.es/gazeta/dias/1803/08/16/pdfs/GMD-1803-65.pdf#page=2","Abrir facsímil")</f>
        <v>Abrir facsímil</v>
      </c>
      <c r="K2767" s="15" t="s">
        <v>23</v>
      </c>
    </row>
    <row r="2768" spans="1:11" ht="42" customHeight="1">
      <c r="A2768" s="4" t="s">
        <v>6974</v>
      </c>
      <c r="B2768" s="5" t="s">
        <v>6974</v>
      </c>
      <c r="C2768" s="5" t="s">
        <v>51</v>
      </c>
      <c r="D2768" s="5" t="s">
        <v>52</v>
      </c>
      <c r="E2768" s="5" t="s">
        <v>256</v>
      </c>
      <c r="F2768" s="9">
        <v>1</v>
      </c>
      <c r="G2768" s="9">
        <v>6</v>
      </c>
      <c r="H2768" s="5" t="s">
        <v>21</v>
      </c>
      <c r="I2768" s="5" t="s">
        <v>6975</v>
      </c>
      <c r="J2768" s="12" t="str">
        <f>HYPERLINK("https://www.boe.es/gazeta/dias/1803/01/04/pdfs/GMD-1803-1.pdf#page=6","Abrir facsímil")</f>
        <v>Abrir facsímil</v>
      </c>
      <c r="K2768" s="15" t="s">
        <v>23</v>
      </c>
    </row>
    <row r="2769" spans="1:11" ht="42" customHeight="1">
      <c r="A2769" s="4" t="s">
        <v>6976</v>
      </c>
      <c r="B2769" s="5" t="s">
        <v>6977</v>
      </c>
      <c r="C2769" s="5" t="s">
        <v>18</v>
      </c>
      <c r="D2769" s="5" t="s">
        <v>19</v>
      </c>
      <c r="E2769" s="5" t="s">
        <v>373</v>
      </c>
      <c r="F2769" s="9">
        <v>77</v>
      </c>
      <c r="G2769" s="9">
        <v>833</v>
      </c>
      <c r="H2769" s="5" t="s">
        <v>21</v>
      </c>
      <c r="I2769" s="5" t="s">
        <v>6978</v>
      </c>
      <c r="J2769" s="12" t="str">
        <f>HYPERLINK("https://www.boe.es/gazeta/dias/1803/09/23/pdfs/GMD-1803-77.pdf#page=9","Abrir facsímil")</f>
        <v>Abrir facsímil</v>
      </c>
      <c r="K2769" s="15" t="s">
        <v>23</v>
      </c>
    </row>
    <row r="2770" spans="1:11" ht="42" customHeight="1">
      <c r="A2770" s="4" t="s">
        <v>6979</v>
      </c>
      <c r="B2770" s="5" t="s">
        <v>6980</v>
      </c>
      <c r="C2770" s="5" t="s">
        <v>26</v>
      </c>
      <c r="D2770" s="5" t="s">
        <v>27</v>
      </c>
      <c r="E2770" s="5" t="s">
        <v>68</v>
      </c>
      <c r="F2770" s="9">
        <v>23</v>
      </c>
      <c r="G2770" s="9">
        <v>246</v>
      </c>
      <c r="H2770" s="5" t="s">
        <v>21</v>
      </c>
      <c r="I2770" s="5" t="s">
        <v>6981</v>
      </c>
      <c r="J2770" s="12" t="str">
        <f>HYPERLINK("https://www.boe.es/gazeta/dias/1803/03/22/pdfs/GMD-1803-23.pdf#page=6","Abrir facsímil")</f>
        <v>Abrir facsímil</v>
      </c>
      <c r="K2770" s="15" t="s">
        <v>23</v>
      </c>
    </row>
    <row r="2771" spans="1:11" ht="42" customHeight="1">
      <c r="A2771" s="4" t="s">
        <v>6982</v>
      </c>
      <c r="B2771" s="5" t="s">
        <v>6983</v>
      </c>
      <c r="C2771" s="5" t="s">
        <v>46</v>
      </c>
      <c r="D2771" s="5" t="s">
        <v>19</v>
      </c>
      <c r="E2771" s="5" t="s">
        <v>203</v>
      </c>
      <c r="F2771" s="9">
        <v>32</v>
      </c>
      <c r="G2771" s="9">
        <v>339</v>
      </c>
      <c r="H2771" s="5" t="s">
        <v>21</v>
      </c>
      <c r="I2771" s="5" t="s">
        <v>6984</v>
      </c>
      <c r="J2771" s="12" t="str">
        <f>HYPERLINK("https://www.boe.es/gazeta/dias/1803/04/22/pdfs/GMD-1803-32.pdf#page=11","Abrir facsímil")</f>
        <v>Abrir facsímil</v>
      </c>
      <c r="K2771" s="15" t="s">
        <v>23</v>
      </c>
    </row>
    <row r="2772" spans="1:11" ht="42" customHeight="1">
      <c r="A2772" s="4" t="s">
        <v>6985</v>
      </c>
      <c r="B2772" s="5" t="s">
        <v>6986</v>
      </c>
      <c r="C2772" s="5" t="s">
        <v>40</v>
      </c>
      <c r="D2772" s="5" t="s">
        <v>41</v>
      </c>
      <c r="E2772" s="5" t="s">
        <v>218</v>
      </c>
      <c r="F2772" s="9">
        <v>19</v>
      </c>
      <c r="G2772" s="9">
        <v>196</v>
      </c>
      <c r="H2772" s="5" t="s">
        <v>21</v>
      </c>
      <c r="I2772" s="5" t="s">
        <v>6987</v>
      </c>
      <c r="J2772" s="12" t="str">
        <f>HYPERLINK("https://www.boe.es/gazeta/dias/1803/03/08/pdfs/GMD-1803-19.pdf#page=4","Abrir facsímil")</f>
        <v>Abrir facsímil</v>
      </c>
      <c r="K2772" s="15" t="s">
        <v>23</v>
      </c>
    </row>
    <row r="2773" spans="1:11" ht="42" customHeight="1">
      <c r="A2773" s="4" t="s">
        <v>6988</v>
      </c>
      <c r="B2773" s="5" t="s">
        <v>6989</v>
      </c>
      <c r="C2773" s="5" t="s">
        <v>80</v>
      </c>
      <c r="D2773" s="5" t="s">
        <v>81</v>
      </c>
      <c r="E2773" s="5" t="s">
        <v>555</v>
      </c>
      <c r="F2773" s="9">
        <v>83</v>
      </c>
      <c r="G2773" s="9">
        <v>896</v>
      </c>
      <c r="H2773" s="5" t="s">
        <v>21</v>
      </c>
      <c r="I2773" s="5" t="s">
        <v>6990</v>
      </c>
      <c r="J2773" s="12" t="str">
        <f>HYPERLINK("https://www.boe.es/gazeta/dias/1803/10/14/pdfs/GMD-1803-83.pdf#page=8","Abrir facsímil")</f>
        <v>Abrir facsímil</v>
      </c>
      <c r="K2773" s="15" t="s">
        <v>23</v>
      </c>
    </row>
    <row r="2774" spans="1:11" ht="42" customHeight="1">
      <c r="A2774" s="4" t="s">
        <v>6991</v>
      </c>
      <c r="B2774" s="5" t="s">
        <v>6992</v>
      </c>
      <c r="C2774" s="5" t="s">
        <v>26</v>
      </c>
      <c r="D2774" s="5" t="s">
        <v>27</v>
      </c>
      <c r="E2774" s="5" t="s">
        <v>160</v>
      </c>
      <c r="F2774" s="9">
        <v>81</v>
      </c>
      <c r="G2774" s="9">
        <v>872</v>
      </c>
      <c r="H2774" s="5" t="s">
        <v>21</v>
      </c>
      <c r="I2774" s="5" t="s">
        <v>6993</v>
      </c>
      <c r="J2774" s="12" t="str">
        <f>HYPERLINK("https://www.boe.es/gazeta/dias/1803/10/07/pdfs/GMD-1803-81.pdf#page=8","Abrir facsímil")</f>
        <v>Abrir facsímil</v>
      </c>
      <c r="K2774" s="15" t="s">
        <v>23</v>
      </c>
    </row>
    <row r="2775" spans="1:11" ht="42" customHeight="1">
      <c r="A2775" s="4" t="s">
        <v>6994</v>
      </c>
      <c r="B2775" s="5" t="s">
        <v>6995</v>
      </c>
      <c r="C2775" s="5" t="s">
        <v>51</v>
      </c>
      <c r="D2775" s="5" t="s">
        <v>52</v>
      </c>
      <c r="E2775" s="5" t="s">
        <v>71</v>
      </c>
      <c r="F2775" s="9">
        <v>39</v>
      </c>
      <c r="G2775" s="9">
        <v>414</v>
      </c>
      <c r="H2775" s="5" t="s">
        <v>21</v>
      </c>
      <c r="I2775" s="5" t="s">
        <v>6996</v>
      </c>
      <c r="J2775" s="12" t="str">
        <f>HYPERLINK("https://www.boe.es/gazeta/dias/1803/05/17/pdfs/GMD-1803-39.pdf#page=10","Abrir facsímil")</f>
        <v>Abrir facsímil</v>
      </c>
      <c r="K2775" s="15" t="s">
        <v>23</v>
      </c>
    </row>
    <row r="2776" spans="1:11" ht="42" customHeight="1">
      <c r="A2776" s="4" t="s">
        <v>6997</v>
      </c>
      <c r="B2776" s="5" t="s">
        <v>6998</v>
      </c>
      <c r="C2776" s="5" t="s">
        <v>51</v>
      </c>
      <c r="D2776" s="5" t="s">
        <v>52</v>
      </c>
      <c r="E2776" s="5" t="s">
        <v>68</v>
      </c>
      <c r="F2776" s="9">
        <v>23</v>
      </c>
      <c r="G2776" s="9">
        <v>247</v>
      </c>
      <c r="H2776" s="5" t="s">
        <v>21</v>
      </c>
      <c r="I2776" s="5" t="s">
        <v>6999</v>
      </c>
      <c r="J2776" s="12" t="str">
        <f>HYPERLINK("https://www.boe.es/gazeta/dias/1803/03/22/pdfs/GMD-1803-23.pdf#page=7","Abrir facsímil")</f>
        <v>Abrir facsímil</v>
      </c>
      <c r="K2776" s="15" t="s">
        <v>23</v>
      </c>
    </row>
    <row r="2777" spans="1:11" ht="42" customHeight="1">
      <c r="A2777" s="4" t="s">
        <v>7000</v>
      </c>
      <c r="B2777" s="5" t="s">
        <v>7001</v>
      </c>
      <c r="C2777" s="5" t="s">
        <v>26</v>
      </c>
      <c r="D2777" s="5" t="s">
        <v>27</v>
      </c>
      <c r="E2777" s="5" t="s">
        <v>71</v>
      </c>
      <c r="F2777" s="9">
        <v>39</v>
      </c>
      <c r="G2777" s="9">
        <v>412</v>
      </c>
      <c r="H2777" s="5" t="s">
        <v>21</v>
      </c>
      <c r="I2777" s="5" t="s">
        <v>7002</v>
      </c>
      <c r="J2777" s="12" t="str">
        <f>HYPERLINK("https://www.boe.es/gazeta/dias/1803/05/17/pdfs/GMD-1803-39.pdf#page=8","Abrir facsímil")</f>
        <v>Abrir facsímil</v>
      </c>
      <c r="K2777" s="15" t="s">
        <v>23</v>
      </c>
    </row>
    <row r="2778" spans="1:11" ht="42" customHeight="1">
      <c r="A2778" s="4" t="s">
        <v>7003</v>
      </c>
      <c r="B2778" s="5" t="s">
        <v>7004</v>
      </c>
      <c r="C2778" s="5" t="s">
        <v>26</v>
      </c>
      <c r="D2778" s="5" t="s">
        <v>27</v>
      </c>
      <c r="E2778" s="5" t="s">
        <v>156</v>
      </c>
      <c r="F2778" s="9">
        <v>2</v>
      </c>
      <c r="G2778" s="9">
        <v>17</v>
      </c>
      <c r="H2778" s="5" t="s">
        <v>21</v>
      </c>
      <c r="I2778" s="5" t="s">
        <v>7005</v>
      </c>
      <c r="J2778" s="12" t="str">
        <f>HYPERLINK("https://www.boe.es/gazeta/dias/1803/01/07/pdfs/GMD-1803-2.pdf#page=9","Abrir facsímil")</f>
        <v>Abrir facsímil</v>
      </c>
      <c r="K2778" s="15" t="s">
        <v>23</v>
      </c>
    </row>
    <row r="2779" spans="1:11" ht="42" customHeight="1">
      <c r="A2779" s="4" t="s">
        <v>7006</v>
      </c>
      <c r="B2779" s="5" t="s">
        <v>7007</v>
      </c>
      <c r="C2779" s="5" t="s">
        <v>40</v>
      </c>
      <c r="D2779" s="5" t="s">
        <v>41</v>
      </c>
      <c r="E2779" s="5" t="s">
        <v>496</v>
      </c>
      <c r="F2779" s="9">
        <v>90</v>
      </c>
      <c r="G2779" s="9">
        <v>962</v>
      </c>
      <c r="H2779" s="5" t="s">
        <v>21</v>
      </c>
      <c r="I2779" s="5" t="s">
        <v>7008</v>
      </c>
      <c r="J2779" s="12" t="str">
        <f>HYPERLINK("https://www.boe.es/gazeta/dias/1803/11/08/pdfs/GMD-1803-90.pdf#page=2","Abrir facsímil")</f>
        <v>Abrir facsímil</v>
      </c>
      <c r="K2779" s="15" t="s">
        <v>23</v>
      </c>
    </row>
    <row r="2780" spans="1:11" ht="42" customHeight="1">
      <c r="A2780" s="4" t="s">
        <v>7009</v>
      </c>
      <c r="B2780" s="5" t="s">
        <v>7009</v>
      </c>
      <c r="C2780" s="5" t="s">
        <v>26</v>
      </c>
      <c r="D2780" s="5" t="s">
        <v>27</v>
      </c>
      <c r="E2780" s="5" t="s">
        <v>99</v>
      </c>
      <c r="F2780" s="9">
        <v>29</v>
      </c>
      <c r="G2780" s="9">
        <v>310</v>
      </c>
      <c r="H2780" s="5" t="s">
        <v>21</v>
      </c>
      <c r="I2780" s="5" t="s">
        <v>7010</v>
      </c>
      <c r="J2780" s="12" t="str">
        <f>HYPERLINK("https://www.boe.es/gazeta/dias/1803/04/12/pdfs/GMD-1803-29.pdf#page=6","Abrir facsímil")</f>
        <v>Abrir facsímil</v>
      </c>
      <c r="K2780" s="15" t="s">
        <v>23</v>
      </c>
    </row>
    <row r="2781" spans="1:11" ht="42" customHeight="1">
      <c r="A2781" s="4" t="s">
        <v>7011</v>
      </c>
      <c r="B2781" s="5" t="s">
        <v>7011</v>
      </c>
      <c r="C2781" s="5" t="s">
        <v>18</v>
      </c>
      <c r="D2781" s="5" t="s">
        <v>19</v>
      </c>
      <c r="E2781" s="5" t="s">
        <v>207</v>
      </c>
      <c r="F2781" s="9">
        <v>27</v>
      </c>
      <c r="G2781" s="9">
        <v>293</v>
      </c>
      <c r="H2781" s="5" t="s">
        <v>21</v>
      </c>
      <c r="I2781" s="5" t="s">
        <v>7012</v>
      </c>
      <c r="J2781" s="12" t="str">
        <f>HYPERLINK("https://www.boe.es/gazeta/dias/1803/04/05/pdfs/GMD-1803-27.pdf#page=9","Abrir facsímil")</f>
        <v>Abrir facsímil</v>
      </c>
      <c r="K2781" s="15" t="s">
        <v>23</v>
      </c>
    </row>
    <row r="2782" spans="1:11" ht="42" customHeight="1">
      <c r="A2782" s="4" t="s">
        <v>7013</v>
      </c>
      <c r="B2782" s="5" t="s">
        <v>7014</v>
      </c>
      <c r="C2782" s="5" t="s">
        <v>51</v>
      </c>
      <c r="D2782" s="5" t="s">
        <v>52</v>
      </c>
      <c r="E2782" s="5" t="s">
        <v>373</v>
      </c>
      <c r="F2782" s="9">
        <v>77</v>
      </c>
      <c r="G2782" s="9">
        <v>833</v>
      </c>
      <c r="H2782" s="5" t="s">
        <v>21</v>
      </c>
      <c r="I2782" s="5" t="s">
        <v>7015</v>
      </c>
      <c r="J2782" s="12" t="str">
        <f>HYPERLINK("https://www.boe.es/gazeta/dias/1803/09/23/pdfs/GMD-1803-77.pdf#page=9","Abrir facsímil")</f>
        <v>Abrir facsímil</v>
      </c>
      <c r="K2782" s="15" t="s">
        <v>23</v>
      </c>
    </row>
    <row r="2783" spans="1:11" ht="42" customHeight="1">
      <c r="A2783" s="4" t="s">
        <v>7016</v>
      </c>
      <c r="B2783" s="5" t="s">
        <v>7017</v>
      </c>
      <c r="C2783" s="5" t="s">
        <v>26</v>
      </c>
      <c r="D2783" s="5" t="s">
        <v>27</v>
      </c>
      <c r="E2783" s="5" t="s">
        <v>514</v>
      </c>
      <c r="F2783" s="9">
        <v>42</v>
      </c>
      <c r="G2783" s="9">
        <v>439</v>
      </c>
      <c r="H2783" s="5" t="s">
        <v>21</v>
      </c>
      <c r="I2783" s="5" t="s">
        <v>7018</v>
      </c>
      <c r="J2783" s="12" t="str">
        <f>HYPERLINK("https://www.boe.es/gazeta/dias/1803/05/27/pdfs/GMD-1803-42.pdf#page=7","Abrir facsímil")</f>
        <v>Abrir facsímil</v>
      </c>
      <c r="K2783" s="15" t="s">
        <v>23</v>
      </c>
    </row>
    <row r="2784" spans="1:11" ht="42" customHeight="1">
      <c r="A2784" s="4" t="s">
        <v>7019</v>
      </c>
      <c r="B2784" s="5" t="s">
        <v>7020</v>
      </c>
      <c r="C2784" s="5" t="s">
        <v>18</v>
      </c>
      <c r="D2784" s="5" t="s">
        <v>19</v>
      </c>
      <c r="E2784" s="5" t="s">
        <v>910</v>
      </c>
      <c r="F2784" s="9">
        <v>66</v>
      </c>
      <c r="G2784" s="9">
        <v>719</v>
      </c>
      <c r="H2784" s="5" t="s">
        <v>21</v>
      </c>
      <c r="I2784" s="5" t="s">
        <v>7021</v>
      </c>
      <c r="J2784" s="12" t="str">
        <f>HYPERLINK("https://www.boe.es/gazeta/dias/1803/08/19/pdfs/GMD-1803-66.pdf#page=7","Abrir facsímil")</f>
        <v>Abrir facsímil</v>
      </c>
      <c r="K2784" s="15" t="s">
        <v>23</v>
      </c>
    </row>
    <row r="2785" spans="1:11" ht="42" customHeight="1">
      <c r="A2785" s="4" t="s">
        <v>7019</v>
      </c>
      <c r="B2785" s="5" t="s">
        <v>7020</v>
      </c>
      <c r="C2785" s="5" t="s">
        <v>18</v>
      </c>
      <c r="D2785" s="5" t="s">
        <v>19</v>
      </c>
      <c r="E2785" s="5" t="s">
        <v>373</v>
      </c>
      <c r="F2785" s="9">
        <v>77</v>
      </c>
      <c r="G2785" s="9">
        <v>833</v>
      </c>
      <c r="H2785" s="5" t="s">
        <v>21</v>
      </c>
      <c r="I2785" s="5" t="s">
        <v>7022</v>
      </c>
      <c r="J2785" s="12" t="str">
        <f>HYPERLINK("https://www.boe.es/gazeta/dias/1803/09/23/pdfs/GMD-1803-77.pdf#page=9","Abrir facsímil")</f>
        <v>Abrir facsímil</v>
      </c>
      <c r="K2785" s="15" t="s">
        <v>23</v>
      </c>
    </row>
    <row r="2786" spans="1:11" ht="42" customHeight="1">
      <c r="A2786" s="4" t="s">
        <v>7023</v>
      </c>
      <c r="B2786" s="5" t="s">
        <v>7024</v>
      </c>
      <c r="C2786" s="5" t="s">
        <v>18</v>
      </c>
      <c r="D2786" s="5" t="s">
        <v>19</v>
      </c>
      <c r="E2786" s="5" t="s">
        <v>519</v>
      </c>
      <c r="F2786" s="9">
        <v>50</v>
      </c>
      <c r="G2786" s="9">
        <v>543</v>
      </c>
      <c r="H2786" s="5" t="s">
        <v>21</v>
      </c>
      <c r="I2786" s="5" t="s">
        <v>7025</v>
      </c>
      <c r="J2786" s="12" t="str">
        <f>HYPERLINK("https://www.boe.es/gazeta/dias/1803/06/24/pdfs/GMD-1803-50.pdf#page=11","Abrir facsímil")</f>
        <v>Abrir facsímil</v>
      </c>
      <c r="K2786" s="15" t="s">
        <v>23</v>
      </c>
    </row>
    <row r="2787" spans="1:11" ht="42" customHeight="1">
      <c r="A2787" s="4" t="s">
        <v>7026</v>
      </c>
      <c r="B2787" s="5" t="s">
        <v>7027</v>
      </c>
      <c r="C2787" s="5" t="s">
        <v>26</v>
      </c>
      <c r="D2787" s="5" t="s">
        <v>27</v>
      </c>
      <c r="E2787" s="5" t="s">
        <v>148</v>
      </c>
      <c r="F2787" s="9">
        <v>15</v>
      </c>
      <c r="G2787" s="9">
        <v>157</v>
      </c>
      <c r="H2787" s="5" t="s">
        <v>21</v>
      </c>
      <c r="I2787" s="5" t="s">
        <v>7028</v>
      </c>
      <c r="J2787" s="12" t="str">
        <f>HYPERLINK("https://www.boe.es/gazeta/dias/1803/02/22/pdfs/GMD-1803-15.pdf#page=9","Abrir facsímil")</f>
        <v>Abrir facsímil</v>
      </c>
      <c r="K2787" s="15" t="s">
        <v>23</v>
      </c>
    </row>
    <row r="2788" spans="1:11" ht="42" customHeight="1">
      <c r="A2788" s="4" t="s">
        <v>7029</v>
      </c>
      <c r="B2788" s="5" t="s">
        <v>7030</v>
      </c>
      <c r="C2788" s="5" t="s">
        <v>51</v>
      </c>
      <c r="D2788" s="5" t="s">
        <v>52</v>
      </c>
      <c r="E2788" s="5" t="s">
        <v>919</v>
      </c>
      <c r="F2788" s="9">
        <v>69</v>
      </c>
      <c r="G2788" s="9">
        <v>749</v>
      </c>
      <c r="H2788" s="5" t="s">
        <v>21</v>
      </c>
      <c r="I2788" s="5" t="s">
        <v>7031</v>
      </c>
      <c r="J2788" s="12" t="str">
        <f>HYPERLINK("https://www.boe.es/gazeta/dias/1803/08/30/pdfs/GMD-1803-69.pdf#page=5","Abrir facsímil")</f>
        <v>Abrir facsímil</v>
      </c>
      <c r="K2788" s="15" t="s">
        <v>23</v>
      </c>
    </row>
    <row r="2789" spans="1:11" ht="42" customHeight="1">
      <c r="A2789" s="4" t="s">
        <v>7029</v>
      </c>
      <c r="B2789" s="5" t="s">
        <v>7030</v>
      </c>
      <c r="C2789" s="5" t="s">
        <v>26</v>
      </c>
      <c r="D2789" s="5" t="s">
        <v>27</v>
      </c>
      <c r="E2789" s="5" t="s">
        <v>919</v>
      </c>
      <c r="F2789" s="9">
        <v>69</v>
      </c>
      <c r="G2789" s="9">
        <v>750</v>
      </c>
      <c r="H2789" s="5" t="s">
        <v>21</v>
      </c>
      <c r="I2789" s="5" t="s">
        <v>7032</v>
      </c>
      <c r="J2789" s="12" t="str">
        <f>HYPERLINK("https://www.boe.es/gazeta/dias/1803/08/30/pdfs/GMD-1803-69.pdf#page=6","Abrir facsímil")</f>
        <v>Abrir facsímil</v>
      </c>
      <c r="K2789" s="15" t="s">
        <v>23</v>
      </c>
    </row>
    <row r="2790" spans="1:11" ht="42" customHeight="1">
      <c r="A2790" s="4" t="s">
        <v>7029</v>
      </c>
      <c r="B2790" s="5" t="s">
        <v>7030</v>
      </c>
      <c r="C2790" s="5" t="s">
        <v>26</v>
      </c>
      <c r="D2790" s="5" t="s">
        <v>27</v>
      </c>
      <c r="E2790" s="5" t="s">
        <v>36</v>
      </c>
      <c r="F2790" s="9">
        <v>79</v>
      </c>
      <c r="G2790" s="9">
        <v>855</v>
      </c>
      <c r="H2790" s="5" t="s">
        <v>21</v>
      </c>
      <c r="I2790" s="5" t="s">
        <v>7033</v>
      </c>
      <c r="J2790" s="12" t="str">
        <f>HYPERLINK("https://www.boe.es/gazeta/dias/1803/09/30/pdfs/GMD-1803-79.pdf#page=7","Abrir facsímil")</f>
        <v>Abrir facsímil</v>
      </c>
      <c r="K2790" s="15" t="s">
        <v>23</v>
      </c>
    </row>
    <row r="2791" spans="1:11" ht="42" customHeight="1">
      <c r="A2791" s="4" t="s">
        <v>7034</v>
      </c>
      <c r="B2791" s="5" t="s">
        <v>7035</v>
      </c>
      <c r="C2791" s="5" t="s">
        <v>51</v>
      </c>
      <c r="D2791" s="5" t="s">
        <v>52</v>
      </c>
      <c r="E2791" s="5" t="s">
        <v>64</v>
      </c>
      <c r="F2791" s="9">
        <v>65</v>
      </c>
      <c r="G2791" s="9">
        <v>710</v>
      </c>
      <c r="H2791" s="5" t="s">
        <v>21</v>
      </c>
      <c r="I2791" s="5" t="s">
        <v>7036</v>
      </c>
      <c r="J2791" s="12" t="str">
        <f>HYPERLINK("https://www.boe.es/gazeta/dias/1803/08/16/pdfs/GMD-1803-65.pdf#page=10","Abrir facsímil")</f>
        <v>Abrir facsímil</v>
      </c>
      <c r="K2791" s="15" t="s">
        <v>23</v>
      </c>
    </row>
    <row r="2792" spans="1:11" ht="42" customHeight="1">
      <c r="A2792" s="4" t="s">
        <v>7037</v>
      </c>
      <c r="B2792" s="5" t="s">
        <v>7038</v>
      </c>
      <c r="C2792" s="5" t="s">
        <v>26</v>
      </c>
      <c r="D2792" s="5" t="s">
        <v>27</v>
      </c>
      <c r="E2792" s="5" t="s">
        <v>285</v>
      </c>
      <c r="F2792" s="9">
        <v>5</v>
      </c>
      <c r="G2792" s="9">
        <v>48</v>
      </c>
      <c r="H2792" s="5" t="s">
        <v>21</v>
      </c>
      <c r="I2792" s="5" t="s">
        <v>7039</v>
      </c>
      <c r="J2792" s="12" t="str">
        <f>HYPERLINK("https://www.boe.es/gazeta/dias/1803/01/18/pdfs/GMD-1803-5.pdf#page=12","Abrir facsímil")</f>
        <v>Abrir facsímil</v>
      </c>
      <c r="K2792" s="15" t="s">
        <v>23</v>
      </c>
    </row>
    <row r="2793" spans="1:11" ht="42" customHeight="1">
      <c r="A2793" s="4" t="s">
        <v>7040</v>
      </c>
      <c r="B2793" s="5" t="s">
        <v>7041</v>
      </c>
      <c r="C2793" s="5" t="s">
        <v>80</v>
      </c>
      <c r="D2793" s="5" t="s">
        <v>81</v>
      </c>
      <c r="E2793" s="5" t="s">
        <v>293</v>
      </c>
      <c r="F2793" s="9">
        <v>45</v>
      </c>
      <c r="G2793" s="9">
        <v>475</v>
      </c>
      <c r="H2793" s="5" t="s">
        <v>21</v>
      </c>
      <c r="I2793" s="5" t="s">
        <v>7042</v>
      </c>
      <c r="J2793" s="12" t="str">
        <f>HYPERLINK("https://www.boe.es/gazeta/dias/1803/06/07/pdfs/GMD-1803-45.pdf#page=11","Abrir facsímil")</f>
        <v>Abrir facsímil</v>
      </c>
      <c r="K2793" s="15" t="s">
        <v>23</v>
      </c>
    </row>
    <row r="2794" spans="1:11" ht="42" customHeight="1">
      <c r="A2794" s="4" t="s">
        <v>7043</v>
      </c>
      <c r="B2794" s="5" t="s">
        <v>7044</v>
      </c>
      <c r="C2794" s="5" t="s">
        <v>26</v>
      </c>
      <c r="D2794" s="5" t="s">
        <v>27</v>
      </c>
      <c r="E2794" s="5" t="s">
        <v>373</v>
      </c>
      <c r="F2794" s="9">
        <v>77</v>
      </c>
      <c r="G2794" s="9">
        <v>834</v>
      </c>
      <c r="H2794" s="5" t="s">
        <v>21</v>
      </c>
      <c r="I2794" s="5" t="s">
        <v>7045</v>
      </c>
      <c r="J2794" s="12" t="str">
        <f>HYPERLINK("https://www.boe.es/gazeta/dias/1803/09/23/pdfs/GMD-1803-77.pdf#page=10","Abrir facsímil")</f>
        <v>Abrir facsímil</v>
      </c>
      <c r="K2794" s="15" t="s">
        <v>23</v>
      </c>
    </row>
    <row r="2795" spans="1:11" ht="42" customHeight="1">
      <c r="A2795" s="4" t="s">
        <v>7046</v>
      </c>
      <c r="B2795" s="5" t="s">
        <v>7047</v>
      </c>
      <c r="C2795" s="5" t="s">
        <v>26</v>
      </c>
      <c r="D2795" s="5" t="s">
        <v>27</v>
      </c>
      <c r="E2795" s="5" t="s">
        <v>395</v>
      </c>
      <c r="F2795" s="9">
        <v>13</v>
      </c>
      <c r="G2795" s="9">
        <v>133</v>
      </c>
      <c r="H2795" s="5" t="s">
        <v>21</v>
      </c>
      <c r="I2795" s="5" t="s">
        <v>7048</v>
      </c>
      <c r="J2795" s="12" t="str">
        <f>HYPERLINK("https://www.boe.es/gazeta/dias/1803/02/15/pdfs/GMD-1803-13.pdf#page=9","Abrir facsímil")</f>
        <v>Abrir facsímil</v>
      </c>
      <c r="K2795" s="15" t="s">
        <v>23</v>
      </c>
    </row>
    <row r="2796" spans="1:11" ht="42" customHeight="1">
      <c r="A2796" s="4" t="s">
        <v>7049</v>
      </c>
      <c r="B2796" s="5" t="s">
        <v>7050</v>
      </c>
      <c r="C2796" s="5" t="s">
        <v>80</v>
      </c>
      <c r="D2796" s="5" t="s">
        <v>81</v>
      </c>
      <c r="E2796" s="5" t="s">
        <v>77</v>
      </c>
      <c r="F2796" s="9">
        <v>64</v>
      </c>
      <c r="G2796" s="9">
        <v>700</v>
      </c>
      <c r="H2796" s="5" t="s">
        <v>21</v>
      </c>
      <c r="I2796" s="5" t="s">
        <v>7051</v>
      </c>
      <c r="J2796" s="12" t="str">
        <f>HYPERLINK("https://www.boe.es/gazeta/dias/1803/08/12/pdfs/GMD-1803-64.pdf#page=8","Abrir facsímil")</f>
        <v>Abrir facsímil</v>
      </c>
      <c r="K2796" s="15" t="s">
        <v>23</v>
      </c>
    </row>
    <row r="2797" spans="1:11" ht="42" customHeight="1">
      <c r="A2797" s="4" t="s">
        <v>7052</v>
      </c>
      <c r="B2797" s="5" t="s">
        <v>7053</v>
      </c>
      <c r="C2797" s="5" t="s">
        <v>26</v>
      </c>
      <c r="D2797" s="5" t="s">
        <v>27</v>
      </c>
      <c r="E2797" s="5" t="s">
        <v>519</v>
      </c>
      <c r="F2797" s="9">
        <v>50</v>
      </c>
      <c r="G2797" s="9">
        <v>541</v>
      </c>
      <c r="H2797" s="5" t="s">
        <v>21</v>
      </c>
      <c r="I2797" s="5" t="s">
        <v>7054</v>
      </c>
      <c r="J2797" s="12" t="str">
        <f>HYPERLINK("https://www.boe.es/gazeta/dias/1803/06/24/pdfs/GMD-1803-50.pdf#page=9","Abrir facsímil")</f>
        <v>Abrir facsímil</v>
      </c>
      <c r="K2797" s="15" t="s">
        <v>23</v>
      </c>
    </row>
    <row r="2798" spans="1:11" ht="42" customHeight="1">
      <c r="A2798" s="4" t="s">
        <v>7055</v>
      </c>
      <c r="B2798" s="5" t="s">
        <v>7056</v>
      </c>
      <c r="C2798" s="5" t="s">
        <v>18</v>
      </c>
      <c r="D2798" s="5" t="s">
        <v>19</v>
      </c>
      <c r="E2798" s="5" t="s">
        <v>189</v>
      </c>
      <c r="F2798" s="9">
        <v>9</v>
      </c>
      <c r="G2798" s="9">
        <v>92</v>
      </c>
      <c r="H2798" s="5" t="s">
        <v>21</v>
      </c>
      <c r="I2798" s="5" t="s">
        <v>7057</v>
      </c>
      <c r="J2798" s="12" t="str">
        <f>HYPERLINK("https://www.boe.es/gazeta/dias/1803/02/01/pdfs/GMD-1803-9.pdf#page=8","Abrir facsímil")</f>
        <v>Abrir facsímil</v>
      </c>
      <c r="K2798" s="15" t="s">
        <v>23</v>
      </c>
    </row>
    <row r="2799" spans="1:11" ht="42" customHeight="1">
      <c r="A2799" s="4" t="s">
        <v>7055</v>
      </c>
      <c r="B2799" s="5" t="s">
        <v>7056</v>
      </c>
      <c r="C2799" s="5" t="s">
        <v>51</v>
      </c>
      <c r="D2799" s="5" t="s">
        <v>52</v>
      </c>
      <c r="E2799" s="5" t="s">
        <v>160</v>
      </c>
      <c r="F2799" s="9">
        <v>81</v>
      </c>
      <c r="G2799" s="9">
        <v>871</v>
      </c>
      <c r="H2799" s="5" t="s">
        <v>21</v>
      </c>
      <c r="I2799" s="5" t="s">
        <v>7058</v>
      </c>
      <c r="J2799" s="12" t="str">
        <f>HYPERLINK("https://www.boe.es/gazeta/dias/1803/10/07/pdfs/GMD-1803-81.pdf#page=7","Abrir facsímil")</f>
        <v>Abrir facsímil</v>
      </c>
      <c r="K2799" s="15" t="s">
        <v>23</v>
      </c>
    </row>
    <row r="2800" spans="1:11" ht="42" customHeight="1">
      <c r="A2800" s="4" t="s">
        <v>7059</v>
      </c>
      <c r="B2800" s="5" t="s">
        <v>7060</v>
      </c>
      <c r="C2800" s="5" t="s">
        <v>40</v>
      </c>
      <c r="D2800" s="5" t="s">
        <v>41</v>
      </c>
      <c r="E2800" s="5" t="s">
        <v>132</v>
      </c>
      <c r="F2800" s="9">
        <v>58</v>
      </c>
      <c r="G2800" s="9">
        <v>639</v>
      </c>
      <c r="H2800" s="5" t="s">
        <v>21</v>
      </c>
      <c r="I2800" s="5" t="s">
        <v>7061</v>
      </c>
      <c r="J2800" s="12" t="str">
        <f>HYPERLINK("https://www.boe.es/gazeta/dias/1803/07/22/pdfs/GMD-1803-58.pdf#page=11","Abrir facsímil")</f>
        <v>Abrir facsímil</v>
      </c>
      <c r="K2800" s="15" t="s">
        <v>23</v>
      </c>
    </row>
    <row r="2801" spans="1:11" ht="42" customHeight="1">
      <c r="A2801" s="4" t="s">
        <v>7062</v>
      </c>
      <c r="B2801" s="5" t="s">
        <v>7063</v>
      </c>
      <c r="C2801" s="5" t="s">
        <v>80</v>
      </c>
      <c r="D2801" s="5" t="s">
        <v>81</v>
      </c>
      <c r="E2801" s="5" t="s">
        <v>124</v>
      </c>
      <c r="F2801" s="9">
        <v>20</v>
      </c>
      <c r="G2801" s="9">
        <v>211</v>
      </c>
      <c r="H2801" s="5" t="s">
        <v>21</v>
      </c>
      <c r="I2801" s="5" t="s">
        <v>7064</v>
      </c>
      <c r="J2801" s="12" t="str">
        <f>HYPERLINK("https://www.boe.es/gazeta/dias/1803/03/11/pdfs/GMD-1803-20.pdf#page=7","Abrir facsímil")</f>
        <v>Abrir facsímil</v>
      </c>
      <c r="K2801" s="15" t="s">
        <v>23</v>
      </c>
    </row>
    <row r="2802" spans="1:11" ht="42" customHeight="1">
      <c r="A2802" s="4" t="s">
        <v>7065</v>
      </c>
      <c r="B2802" s="5" t="s">
        <v>7066</v>
      </c>
      <c r="C2802" s="5" t="s">
        <v>26</v>
      </c>
      <c r="D2802" s="5" t="s">
        <v>27</v>
      </c>
      <c r="E2802" s="5" t="s">
        <v>300</v>
      </c>
      <c r="F2802" s="9">
        <v>96</v>
      </c>
      <c r="G2802" s="9">
        <v>1034</v>
      </c>
      <c r="H2802" s="5" t="s">
        <v>21</v>
      </c>
      <c r="I2802" s="5" t="s">
        <v>7067</v>
      </c>
      <c r="J2802" s="12" t="str">
        <f>HYPERLINK("https://www.boe.es/gazeta/dias/1803/11/29/pdfs/GMD-1803-96.pdf#page=10","Abrir facsímil")</f>
        <v>Abrir facsímil</v>
      </c>
      <c r="K2802" s="15" t="s">
        <v>23</v>
      </c>
    </row>
    <row r="2803" spans="1:11" ht="42" customHeight="1">
      <c r="A2803" s="4" t="s">
        <v>7068</v>
      </c>
      <c r="B2803" s="5" t="s">
        <v>7069</v>
      </c>
      <c r="C2803" s="5" t="s">
        <v>80</v>
      </c>
      <c r="D2803" s="5" t="s">
        <v>81</v>
      </c>
      <c r="E2803" s="5" t="s">
        <v>191</v>
      </c>
      <c r="F2803" s="9">
        <v>34</v>
      </c>
      <c r="G2803" s="9" t="s">
        <v>227</v>
      </c>
      <c r="H2803" s="5" t="s">
        <v>21</v>
      </c>
      <c r="I2803" s="5" t="s">
        <v>7070</v>
      </c>
      <c r="J2803" s="12" t="str">
        <f>HYPERLINK("https://www.boe.es/gazeta/dias/1803/04/29/pdfs/GMD-C-1803-34.pdf#page=7","Abrir facsímil")</f>
        <v>Abrir facsímil</v>
      </c>
      <c r="K2803" s="15" t="s">
        <v>23</v>
      </c>
    </row>
    <row r="2804" spans="1:11" ht="42" customHeight="1">
      <c r="A2804" s="4" t="s">
        <v>7071</v>
      </c>
      <c r="B2804" s="5" t="s">
        <v>7072</v>
      </c>
      <c r="C2804" s="5" t="s">
        <v>26</v>
      </c>
      <c r="D2804" s="5" t="s">
        <v>27</v>
      </c>
      <c r="E2804" s="5" t="s">
        <v>61</v>
      </c>
      <c r="F2804" s="9">
        <v>67</v>
      </c>
      <c r="G2804" s="9">
        <v>730</v>
      </c>
      <c r="H2804" s="5" t="s">
        <v>21</v>
      </c>
      <c r="I2804" s="5" t="s">
        <v>7073</v>
      </c>
      <c r="J2804" s="12" t="str">
        <f>HYPERLINK("https://www.boe.es/gazeta/dias/1803/08/23/pdfs/GMD-1803-67.pdf#page=10","Abrir facsímil")</f>
        <v>Abrir facsímil</v>
      </c>
      <c r="K2804" s="15" t="s">
        <v>23</v>
      </c>
    </row>
    <row r="2805" spans="1:11" ht="42" customHeight="1">
      <c r="A2805" s="4" t="s">
        <v>7074</v>
      </c>
      <c r="B2805" s="5" t="s">
        <v>7075</v>
      </c>
      <c r="C2805" s="5" t="s">
        <v>18</v>
      </c>
      <c r="D2805" s="5" t="s">
        <v>19</v>
      </c>
      <c r="E2805" s="5" t="s">
        <v>218</v>
      </c>
      <c r="F2805" s="9">
        <v>19</v>
      </c>
      <c r="G2805" s="9">
        <v>201</v>
      </c>
      <c r="H2805" s="5" t="s">
        <v>21</v>
      </c>
      <c r="I2805" s="5" t="s">
        <v>7076</v>
      </c>
      <c r="J2805" s="12" t="str">
        <f>HYPERLINK("https://www.boe.es/gazeta/dias/1803/03/08/pdfs/GMD-1803-19.pdf#page=9","Abrir facsímil")</f>
        <v>Abrir facsímil</v>
      </c>
      <c r="K2805" s="15" t="s">
        <v>23</v>
      </c>
    </row>
    <row r="2806" spans="1:11" ht="42" customHeight="1">
      <c r="A2806" s="4" t="s">
        <v>7077</v>
      </c>
      <c r="B2806" s="5" t="s">
        <v>7078</v>
      </c>
      <c r="C2806" s="5" t="s">
        <v>26</v>
      </c>
      <c r="D2806" s="5" t="s">
        <v>27</v>
      </c>
      <c r="E2806" s="5" t="s">
        <v>28</v>
      </c>
      <c r="F2806" s="9">
        <v>92</v>
      </c>
      <c r="G2806" s="9">
        <v>986</v>
      </c>
      <c r="H2806" s="5" t="s">
        <v>21</v>
      </c>
      <c r="I2806" s="5" t="s">
        <v>7079</v>
      </c>
      <c r="J2806" s="12" t="str">
        <f>HYPERLINK("https://www.boe.es/gazeta/dias/1803/11/15/pdfs/GMD-1803-92.pdf#page=6","Abrir facsímil")</f>
        <v>Abrir facsímil</v>
      </c>
      <c r="K2806" s="15" t="s">
        <v>23</v>
      </c>
    </row>
    <row r="2807" spans="1:11" ht="42" customHeight="1">
      <c r="A2807" s="4" t="s">
        <v>7080</v>
      </c>
      <c r="B2807" s="5" t="s">
        <v>7081</v>
      </c>
      <c r="C2807" s="5" t="s">
        <v>26</v>
      </c>
      <c r="D2807" s="5" t="s">
        <v>27</v>
      </c>
      <c r="E2807" s="5" t="s">
        <v>289</v>
      </c>
      <c r="F2807" s="9">
        <v>38</v>
      </c>
      <c r="G2807" s="9">
        <v>402</v>
      </c>
      <c r="H2807" s="5" t="s">
        <v>21</v>
      </c>
      <c r="I2807" s="5" t="s">
        <v>7082</v>
      </c>
      <c r="J2807" s="12" t="str">
        <f>HYPERLINK("https://www.boe.es/gazeta/dias/1803/05/13/pdfs/GMD-1803-38.pdf#page=10","Abrir facsímil")</f>
        <v>Abrir facsímil</v>
      </c>
      <c r="K2807" s="15" t="s">
        <v>23</v>
      </c>
    </row>
    <row r="2808" spans="1:11" ht="42" customHeight="1">
      <c r="A2808" s="4" t="s">
        <v>7080</v>
      </c>
      <c r="B2808" s="5" t="s">
        <v>7081</v>
      </c>
      <c r="C2808" s="5" t="s">
        <v>80</v>
      </c>
      <c r="D2808" s="5" t="s">
        <v>81</v>
      </c>
      <c r="E2808" s="5" t="s">
        <v>784</v>
      </c>
      <c r="F2808" s="9">
        <v>86</v>
      </c>
      <c r="G2808" s="9">
        <v>931</v>
      </c>
      <c r="H2808" s="5" t="s">
        <v>21</v>
      </c>
      <c r="I2808" s="5" t="s">
        <v>7083</v>
      </c>
      <c r="J2808" s="12" t="str">
        <f>HYPERLINK("https://www.boe.es/gazeta/dias/1803/10/25/pdfs/GMD-1803-86.pdf#page=11","Abrir facsímil")</f>
        <v>Abrir facsímil</v>
      </c>
      <c r="K2808" s="15" t="s">
        <v>23</v>
      </c>
    </row>
    <row r="2809" spans="1:11" ht="42" customHeight="1">
      <c r="A2809" s="4" t="s">
        <v>7084</v>
      </c>
      <c r="B2809" s="5" t="s">
        <v>7085</v>
      </c>
      <c r="C2809" s="5" t="s">
        <v>51</v>
      </c>
      <c r="D2809" s="5" t="s">
        <v>52</v>
      </c>
      <c r="E2809" s="5" t="s">
        <v>373</v>
      </c>
      <c r="F2809" s="9">
        <v>77</v>
      </c>
      <c r="G2809" s="9">
        <v>833</v>
      </c>
      <c r="H2809" s="5" t="s">
        <v>21</v>
      </c>
      <c r="I2809" s="5" t="s">
        <v>7086</v>
      </c>
      <c r="J2809" s="12" t="str">
        <f>HYPERLINK("https://www.boe.es/gazeta/dias/1803/09/23/pdfs/GMD-1803-77.pdf#page=9","Abrir facsímil")</f>
        <v>Abrir facsímil</v>
      </c>
      <c r="K2809" s="15" t="s">
        <v>23</v>
      </c>
    </row>
    <row r="2810" spans="1:11" ht="42" customHeight="1">
      <c r="A2810" s="4" t="s">
        <v>7084</v>
      </c>
      <c r="B2810" s="5" t="s">
        <v>7085</v>
      </c>
      <c r="C2810" s="5" t="s">
        <v>40</v>
      </c>
      <c r="D2810" s="5" t="s">
        <v>41</v>
      </c>
      <c r="E2810" s="5" t="s">
        <v>407</v>
      </c>
      <c r="F2810" s="9">
        <v>82</v>
      </c>
      <c r="G2810" s="9">
        <v>886</v>
      </c>
      <c r="H2810" s="5" t="s">
        <v>21</v>
      </c>
      <c r="I2810" s="5" t="s">
        <v>7087</v>
      </c>
      <c r="J2810" s="12" t="str">
        <f>HYPERLINK("https://www.boe.es/gazeta/dias/1803/10/11/pdfs/GMD-1803-82.pdf#page=10","Abrir facsímil")</f>
        <v>Abrir facsímil</v>
      </c>
      <c r="K2810" s="15" t="s">
        <v>23</v>
      </c>
    </row>
    <row r="2811" spans="1:11" ht="42" customHeight="1">
      <c r="A2811" s="4" t="s">
        <v>7088</v>
      </c>
      <c r="B2811" s="5" t="s">
        <v>7089</v>
      </c>
      <c r="C2811" s="5" t="s">
        <v>18</v>
      </c>
      <c r="D2811" s="5" t="s">
        <v>19</v>
      </c>
      <c r="E2811" s="5" t="s">
        <v>403</v>
      </c>
      <c r="F2811" s="9">
        <v>91</v>
      </c>
      <c r="G2811" s="9">
        <v>976</v>
      </c>
      <c r="H2811" s="5" t="s">
        <v>21</v>
      </c>
      <c r="I2811" s="5" t="s">
        <v>7090</v>
      </c>
      <c r="J2811" s="12" t="str">
        <f>HYPERLINK("https://www.boe.es/gazeta/dias/1803/11/11/pdfs/GMD-1803-91.pdf#page=8","Abrir facsímil")</f>
        <v>Abrir facsímil</v>
      </c>
      <c r="K2811" s="15" t="s">
        <v>23</v>
      </c>
    </row>
    <row r="2812" spans="1:11" ht="42" customHeight="1">
      <c r="A2812" s="4" t="s">
        <v>7091</v>
      </c>
      <c r="B2812" s="5" t="s">
        <v>7092</v>
      </c>
      <c r="C2812" s="5" t="s">
        <v>26</v>
      </c>
      <c r="D2812" s="5" t="s">
        <v>27</v>
      </c>
      <c r="E2812" s="5" t="s">
        <v>132</v>
      </c>
      <c r="F2812" s="9">
        <v>58</v>
      </c>
      <c r="G2812" s="9">
        <v>639</v>
      </c>
      <c r="H2812" s="5" t="s">
        <v>21</v>
      </c>
      <c r="I2812" s="5" t="s">
        <v>7093</v>
      </c>
      <c r="J2812" s="12" t="str">
        <f>HYPERLINK("https://www.boe.es/gazeta/dias/1803/07/22/pdfs/GMD-1803-58.pdf#page=11","Abrir facsímil")</f>
        <v>Abrir facsímil</v>
      </c>
      <c r="K2812" s="15" t="s">
        <v>23</v>
      </c>
    </row>
    <row r="2813" spans="1:11" ht="42" customHeight="1">
      <c r="A2813" s="4" t="s">
        <v>7094</v>
      </c>
      <c r="B2813" s="5" t="s">
        <v>7095</v>
      </c>
      <c r="C2813" s="5" t="s">
        <v>18</v>
      </c>
      <c r="D2813" s="5" t="s">
        <v>19</v>
      </c>
      <c r="E2813" s="5" t="s">
        <v>910</v>
      </c>
      <c r="F2813" s="9">
        <v>66</v>
      </c>
      <c r="G2813" s="9">
        <v>719</v>
      </c>
      <c r="H2813" s="5" t="s">
        <v>21</v>
      </c>
      <c r="I2813" s="5" t="s">
        <v>7096</v>
      </c>
      <c r="J2813" s="12" t="str">
        <f>HYPERLINK("https://www.boe.es/gazeta/dias/1803/08/19/pdfs/GMD-1803-66.pdf#page=7","Abrir facsímil")</f>
        <v>Abrir facsímil</v>
      </c>
      <c r="K2813" s="15" t="s">
        <v>23</v>
      </c>
    </row>
    <row r="2814" spans="1:11" ht="42" customHeight="1">
      <c r="A2814" s="4" t="s">
        <v>7097</v>
      </c>
      <c r="B2814" s="5" t="s">
        <v>7098</v>
      </c>
      <c r="C2814" s="5" t="s">
        <v>26</v>
      </c>
      <c r="D2814" s="5" t="s">
        <v>27</v>
      </c>
      <c r="E2814" s="5" t="s">
        <v>967</v>
      </c>
      <c r="F2814" s="9">
        <v>35</v>
      </c>
      <c r="G2814" s="9">
        <v>367</v>
      </c>
      <c r="H2814" s="5" t="s">
        <v>21</v>
      </c>
      <c r="I2814" s="5" t="s">
        <v>7099</v>
      </c>
      <c r="J2814" s="12" t="str">
        <f>HYPERLINK("https://www.boe.es/gazeta/dias/1803/05/03/pdfs/GMD-1803-35.pdf#page=7","Abrir facsímil")</f>
        <v>Abrir facsímil</v>
      </c>
      <c r="K2814" s="15" t="s">
        <v>23</v>
      </c>
    </row>
    <row r="2815" spans="1:11" ht="42" customHeight="1">
      <c r="A2815" s="4" t="s">
        <v>7100</v>
      </c>
      <c r="B2815" s="5" t="s">
        <v>7101</v>
      </c>
      <c r="C2815" s="5" t="s">
        <v>26</v>
      </c>
      <c r="D2815" s="5" t="s">
        <v>27</v>
      </c>
      <c r="E2815" s="5" t="s">
        <v>496</v>
      </c>
      <c r="F2815" s="9">
        <v>90</v>
      </c>
      <c r="G2815" s="9">
        <v>966</v>
      </c>
      <c r="H2815" s="5" t="s">
        <v>21</v>
      </c>
      <c r="I2815" s="5" t="s">
        <v>7102</v>
      </c>
      <c r="J2815" s="12" t="str">
        <f>HYPERLINK("https://www.boe.es/gazeta/dias/1803/11/08/pdfs/GMD-1803-90.pdf#page=6","Abrir facsímil")</f>
        <v>Abrir facsímil</v>
      </c>
      <c r="K2815" s="15" t="s">
        <v>23</v>
      </c>
    </row>
    <row r="2816" spans="1:11" ht="42" customHeight="1">
      <c r="A2816" s="4" t="s">
        <v>7103</v>
      </c>
      <c r="B2816" s="5" t="s">
        <v>7104</v>
      </c>
      <c r="C2816" s="5" t="s">
        <v>80</v>
      </c>
      <c r="D2816" s="5" t="s">
        <v>81</v>
      </c>
      <c r="E2816" s="5" t="s">
        <v>32</v>
      </c>
      <c r="F2816" s="9">
        <v>74</v>
      </c>
      <c r="G2816" s="9">
        <v>804</v>
      </c>
      <c r="H2816" s="5" t="s">
        <v>21</v>
      </c>
      <c r="I2816" s="5" t="s">
        <v>7105</v>
      </c>
      <c r="J2816" s="12" t="str">
        <f>HYPERLINK("https://www.boe.es/gazeta/dias/1803/09/13/pdfs/GMD-1803-74.pdf#page=8","Abrir facsímil")</f>
        <v>Abrir facsímil</v>
      </c>
      <c r="K2816" s="15" t="s">
        <v>23</v>
      </c>
    </row>
    <row r="2817" spans="1:11" ht="42" customHeight="1">
      <c r="A2817" s="4" t="s">
        <v>7103</v>
      </c>
      <c r="B2817" s="5" t="s">
        <v>7104</v>
      </c>
      <c r="C2817" s="5" t="s">
        <v>80</v>
      </c>
      <c r="D2817" s="5" t="s">
        <v>81</v>
      </c>
      <c r="E2817" s="5" t="s">
        <v>373</v>
      </c>
      <c r="F2817" s="9">
        <v>77</v>
      </c>
      <c r="G2817" s="9">
        <v>836</v>
      </c>
      <c r="H2817" s="5" t="s">
        <v>21</v>
      </c>
      <c r="I2817" s="5" t="s">
        <v>7106</v>
      </c>
      <c r="J2817" s="12" t="str">
        <f>HYPERLINK("https://www.boe.es/gazeta/dias/1803/09/23/pdfs/GMD-1803-77.pdf#page=12","Abrir facsímil")</f>
        <v>Abrir facsímil</v>
      </c>
      <c r="K2817" s="15" t="s">
        <v>23</v>
      </c>
    </row>
    <row r="2818" spans="1:11" ht="42" customHeight="1">
      <c r="A2818" s="4" t="s">
        <v>7103</v>
      </c>
      <c r="B2818" s="5" t="s">
        <v>7104</v>
      </c>
      <c r="C2818" s="5" t="s">
        <v>26</v>
      </c>
      <c r="D2818" s="5" t="s">
        <v>27</v>
      </c>
      <c r="E2818" s="5" t="s">
        <v>407</v>
      </c>
      <c r="F2818" s="9">
        <v>82</v>
      </c>
      <c r="G2818" s="9">
        <v>888</v>
      </c>
      <c r="H2818" s="5" t="s">
        <v>21</v>
      </c>
      <c r="I2818" s="5" t="s">
        <v>7107</v>
      </c>
      <c r="J2818" s="12" t="str">
        <f>HYPERLINK("https://www.boe.es/gazeta/dias/1803/10/11/pdfs/GMD-1803-82.pdf#page=12","Abrir facsímil")</f>
        <v>Abrir facsímil</v>
      </c>
      <c r="K2818" s="15" t="s">
        <v>23</v>
      </c>
    </row>
    <row r="2819" spans="1:11" ht="42" customHeight="1">
      <c r="A2819" s="4" t="s">
        <v>7103</v>
      </c>
      <c r="B2819" s="5" t="s">
        <v>7104</v>
      </c>
      <c r="C2819" s="5" t="s">
        <v>51</v>
      </c>
      <c r="D2819" s="5" t="s">
        <v>52</v>
      </c>
      <c r="E2819" s="5" t="s">
        <v>321</v>
      </c>
      <c r="F2819" s="9">
        <v>94</v>
      </c>
      <c r="G2819" s="9">
        <v>1012</v>
      </c>
      <c r="H2819" s="5" t="s">
        <v>21</v>
      </c>
      <c r="I2819" s="5" t="s">
        <v>7108</v>
      </c>
      <c r="J2819" s="12" t="str">
        <f>HYPERLINK("https://www.boe.es/gazeta/dias/1803/11/22/pdfs/GMD-1803-94.pdf#page=12","Abrir facsímil")</f>
        <v>Abrir facsímil</v>
      </c>
      <c r="K2819" s="15" t="s">
        <v>23</v>
      </c>
    </row>
    <row r="2820" spans="1:11" ht="42" customHeight="1">
      <c r="A2820" s="4" t="s">
        <v>7103</v>
      </c>
      <c r="B2820" s="5" t="s">
        <v>7104</v>
      </c>
      <c r="C2820" s="5" t="s">
        <v>51</v>
      </c>
      <c r="D2820" s="5" t="s">
        <v>52</v>
      </c>
      <c r="E2820" s="5" t="s">
        <v>523</v>
      </c>
      <c r="F2820" s="9">
        <v>101</v>
      </c>
      <c r="G2820" s="9">
        <v>1088</v>
      </c>
      <c r="H2820" s="5" t="s">
        <v>21</v>
      </c>
      <c r="I2820" s="5" t="s">
        <v>7109</v>
      </c>
      <c r="J2820" s="12" t="str">
        <f>HYPERLINK("https://www.boe.es/gazeta/dias/1803/12/16/pdfs/GMD-1803-101.pdf#page=12","Abrir facsímil")</f>
        <v>Abrir facsímil</v>
      </c>
      <c r="K2820" s="15" t="s">
        <v>23</v>
      </c>
    </row>
    <row r="2821" spans="1:11" ht="42" customHeight="1">
      <c r="A2821" s="4" t="s">
        <v>7110</v>
      </c>
      <c r="B2821" s="5" t="s">
        <v>7111</v>
      </c>
      <c r="C2821" s="5" t="s">
        <v>51</v>
      </c>
      <c r="D2821" s="5" t="s">
        <v>52</v>
      </c>
      <c r="E2821" s="5" t="s">
        <v>211</v>
      </c>
      <c r="F2821" s="9">
        <v>71</v>
      </c>
      <c r="G2821" s="9">
        <v>779</v>
      </c>
      <c r="H2821" s="5" t="s">
        <v>21</v>
      </c>
      <c r="I2821" s="5" t="s">
        <v>7112</v>
      </c>
      <c r="J2821" s="12" t="str">
        <f>HYPERLINK("https://www.boe.es/gazeta/dias/1803/09/06/pdfs/GMD-1803-71.pdf#page=11","Abrir facsímil")</f>
        <v>Abrir facsímil</v>
      </c>
      <c r="K2821" s="15" t="s">
        <v>23</v>
      </c>
    </row>
    <row r="2822" spans="1:11" ht="42" customHeight="1">
      <c r="A2822" s="4" t="s">
        <v>7113</v>
      </c>
      <c r="B2822" s="5" t="s">
        <v>7114</v>
      </c>
      <c r="C2822" s="5" t="s">
        <v>26</v>
      </c>
      <c r="D2822" s="5" t="s">
        <v>27</v>
      </c>
      <c r="E2822" s="5" t="s">
        <v>83</v>
      </c>
      <c r="F2822" s="9">
        <v>28</v>
      </c>
      <c r="G2822" s="9">
        <v>303</v>
      </c>
      <c r="H2822" s="5" t="s">
        <v>21</v>
      </c>
      <c r="I2822" s="5" t="s">
        <v>7115</v>
      </c>
      <c r="J2822" s="12" t="str">
        <f>HYPERLINK("https://www.boe.es/gazeta/dias/1803/04/08/pdfs/GMD-1803-28.pdf#page=7","Abrir facsímil")</f>
        <v>Abrir facsímil</v>
      </c>
      <c r="K2822" s="15" t="s">
        <v>23</v>
      </c>
    </row>
    <row r="2823" spans="1:11" ht="42" customHeight="1">
      <c r="A2823" s="4" t="s">
        <v>7113</v>
      </c>
      <c r="B2823" s="5" t="s">
        <v>7114</v>
      </c>
      <c r="C2823" s="5" t="s">
        <v>26</v>
      </c>
      <c r="D2823" s="5" t="s">
        <v>27</v>
      </c>
      <c r="E2823" s="5" t="s">
        <v>263</v>
      </c>
      <c r="F2823" s="9">
        <v>75</v>
      </c>
      <c r="G2823" s="9">
        <v>811</v>
      </c>
      <c r="H2823" s="5" t="s">
        <v>21</v>
      </c>
      <c r="I2823" s="5" t="s">
        <v>7116</v>
      </c>
      <c r="J2823" s="12" t="str">
        <f>HYPERLINK("https://www.boe.es/gazeta/dias/1803/09/16/pdfs/GMD-1803-75.pdf#page=7","Abrir facsímil")</f>
        <v>Abrir facsímil</v>
      </c>
      <c r="K2823" s="15" t="s">
        <v>23</v>
      </c>
    </row>
    <row r="2824" spans="1:11" ht="42" customHeight="1">
      <c r="A2824" s="4" t="s">
        <v>7117</v>
      </c>
      <c r="B2824" s="5" t="s">
        <v>7118</v>
      </c>
      <c r="C2824" s="5" t="s">
        <v>26</v>
      </c>
      <c r="D2824" s="5" t="s">
        <v>27</v>
      </c>
      <c r="E2824" s="5" t="s">
        <v>289</v>
      </c>
      <c r="F2824" s="9">
        <v>38</v>
      </c>
      <c r="G2824" s="9">
        <v>401</v>
      </c>
      <c r="H2824" s="5" t="s">
        <v>21</v>
      </c>
      <c r="I2824" s="5" t="s">
        <v>7119</v>
      </c>
      <c r="J2824" s="12" t="str">
        <f>HYPERLINK("https://www.boe.es/gazeta/dias/1803/05/13/pdfs/GMD-1803-38.pdf#page=9","Abrir facsímil")</f>
        <v>Abrir facsímil</v>
      </c>
      <c r="K2824" s="15" t="s">
        <v>23</v>
      </c>
    </row>
    <row r="2825" spans="1:11" ht="42" customHeight="1">
      <c r="A2825" s="4" t="s">
        <v>7120</v>
      </c>
      <c r="B2825" s="5" t="s">
        <v>7121</v>
      </c>
      <c r="C2825" s="5" t="s">
        <v>26</v>
      </c>
      <c r="D2825" s="5" t="s">
        <v>27</v>
      </c>
      <c r="E2825" s="5" t="s">
        <v>68</v>
      </c>
      <c r="F2825" s="9">
        <v>23</v>
      </c>
      <c r="G2825" s="9">
        <v>246</v>
      </c>
      <c r="H2825" s="5" t="s">
        <v>21</v>
      </c>
      <c r="I2825" s="5" t="s">
        <v>7122</v>
      </c>
      <c r="J2825" s="12" t="str">
        <f>HYPERLINK("https://www.boe.es/gazeta/dias/1803/03/22/pdfs/GMD-1803-23.pdf#page=6","Abrir facsímil")</f>
        <v>Abrir facsímil</v>
      </c>
      <c r="K2825" s="15" t="s">
        <v>23</v>
      </c>
    </row>
    <row r="2826" spans="1:11" ht="42" customHeight="1">
      <c r="A2826" s="4" t="s">
        <v>7123</v>
      </c>
      <c r="B2826" s="5" t="s">
        <v>7124</v>
      </c>
      <c r="C2826" s="5" t="s">
        <v>80</v>
      </c>
      <c r="D2826" s="5" t="s">
        <v>81</v>
      </c>
      <c r="E2826" s="5" t="s">
        <v>317</v>
      </c>
      <c r="F2826" s="9">
        <v>12</v>
      </c>
      <c r="G2826" s="9">
        <v>124</v>
      </c>
      <c r="H2826" s="5" t="s">
        <v>21</v>
      </c>
      <c r="I2826" s="5" t="s">
        <v>7125</v>
      </c>
      <c r="J2826" s="12" t="str">
        <f>HYPERLINK("https://www.boe.es/gazeta/dias/1803/02/11/pdfs/GMD-1803-12.pdf#page=12","Abrir facsímil")</f>
        <v>Abrir facsímil</v>
      </c>
      <c r="K2826" s="15" t="s">
        <v>23</v>
      </c>
    </row>
    <row r="2827" spans="1:11" ht="42" customHeight="1">
      <c r="A2827" s="4" t="s">
        <v>7123</v>
      </c>
      <c r="B2827" s="5" t="s">
        <v>7124</v>
      </c>
      <c r="C2827" s="5" t="s">
        <v>26</v>
      </c>
      <c r="D2827" s="5" t="s">
        <v>27</v>
      </c>
      <c r="E2827" s="5" t="s">
        <v>289</v>
      </c>
      <c r="F2827" s="9">
        <v>38</v>
      </c>
      <c r="G2827" s="9">
        <v>401</v>
      </c>
      <c r="H2827" s="5" t="s">
        <v>21</v>
      </c>
      <c r="I2827" s="5" t="s">
        <v>7126</v>
      </c>
      <c r="J2827" s="12" t="str">
        <f>HYPERLINK("https://www.boe.es/gazeta/dias/1803/05/13/pdfs/GMD-1803-38.pdf#page=9","Abrir facsímil")</f>
        <v>Abrir facsímil</v>
      </c>
      <c r="K2827" s="15" t="s">
        <v>23</v>
      </c>
    </row>
    <row r="2828" spans="1:11" ht="42" customHeight="1">
      <c r="A2828" s="4" t="s">
        <v>7123</v>
      </c>
      <c r="B2828" s="5" t="s">
        <v>7124</v>
      </c>
      <c r="C2828" s="5" t="s">
        <v>80</v>
      </c>
      <c r="D2828" s="5" t="s">
        <v>81</v>
      </c>
      <c r="E2828" s="5" t="s">
        <v>373</v>
      </c>
      <c r="F2828" s="9">
        <v>77</v>
      </c>
      <c r="G2828" s="9">
        <v>836</v>
      </c>
      <c r="H2828" s="5" t="s">
        <v>21</v>
      </c>
      <c r="I2828" s="5" t="s">
        <v>7127</v>
      </c>
      <c r="J2828" s="12" t="str">
        <f>HYPERLINK("https://www.boe.es/gazeta/dias/1803/09/23/pdfs/GMD-1803-77.pdf#page=12","Abrir facsímil")</f>
        <v>Abrir facsímil</v>
      </c>
      <c r="K2828" s="15" t="s">
        <v>23</v>
      </c>
    </row>
    <row r="2829" spans="1:11" ht="42" customHeight="1">
      <c r="A2829" s="4" t="s">
        <v>7123</v>
      </c>
      <c r="B2829" s="5" t="s">
        <v>7124</v>
      </c>
      <c r="C2829" s="5" t="s">
        <v>51</v>
      </c>
      <c r="D2829" s="5" t="s">
        <v>52</v>
      </c>
      <c r="E2829" s="5" t="s">
        <v>321</v>
      </c>
      <c r="F2829" s="9">
        <v>94</v>
      </c>
      <c r="G2829" s="9">
        <v>1012</v>
      </c>
      <c r="H2829" s="5" t="s">
        <v>21</v>
      </c>
      <c r="I2829" s="5" t="s">
        <v>7128</v>
      </c>
      <c r="J2829" s="12" t="str">
        <f>HYPERLINK("https://www.boe.es/gazeta/dias/1803/11/22/pdfs/GMD-1803-94.pdf#page=12","Abrir facsímil")</f>
        <v>Abrir facsímil</v>
      </c>
      <c r="K2829" s="15" t="s">
        <v>23</v>
      </c>
    </row>
    <row r="2830" spans="1:11" ht="42" customHeight="1">
      <c r="A2830" s="4" t="s">
        <v>7123</v>
      </c>
      <c r="B2830" s="5" t="s">
        <v>7124</v>
      </c>
      <c r="C2830" s="5" t="s">
        <v>80</v>
      </c>
      <c r="D2830" s="5" t="s">
        <v>81</v>
      </c>
      <c r="E2830" s="5" t="s">
        <v>53</v>
      </c>
      <c r="F2830" s="9">
        <v>99</v>
      </c>
      <c r="G2830" s="9">
        <v>1064</v>
      </c>
      <c r="H2830" s="5" t="s">
        <v>21</v>
      </c>
      <c r="I2830" s="5" t="s">
        <v>7129</v>
      </c>
      <c r="J2830" s="12" t="str">
        <f>HYPERLINK("https://www.boe.es/gazeta/dias/1803/12/09/pdfs/GMD-1803-99.pdf#page=12","Abrir facsímil")</f>
        <v>Abrir facsímil</v>
      </c>
      <c r="K2830" s="15" t="s">
        <v>23</v>
      </c>
    </row>
    <row r="2831" spans="1:11" ht="42" customHeight="1">
      <c r="A2831" s="4" t="s">
        <v>7130</v>
      </c>
      <c r="B2831" s="5" t="s">
        <v>7131</v>
      </c>
      <c r="C2831" s="5" t="s">
        <v>80</v>
      </c>
      <c r="D2831" s="5" t="s">
        <v>81</v>
      </c>
      <c r="E2831" s="5" t="s">
        <v>174</v>
      </c>
      <c r="F2831" s="9">
        <v>21</v>
      </c>
      <c r="G2831" s="9">
        <v>228</v>
      </c>
      <c r="H2831" s="5" t="s">
        <v>21</v>
      </c>
      <c r="I2831" s="5" t="s">
        <v>7132</v>
      </c>
      <c r="J2831" s="12" t="str">
        <f>HYPERLINK("https://www.boe.es/gazeta/dias/1803/03/15/pdfs/GMD-1803-21.pdf#page=12","Abrir facsímil")</f>
        <v>Abrir facsímil</v>
      </c>
      <c r="K2831" s="15" t="s">
        <v>23</v>
      </c>
    </row>
    <row r="2832" spans="1:11" ht="42" customHeight="1">
      <c r="A2832" s="4" t="s">
        <v>7133</v>
      </c>
      <c r="B2832" s="5" t="s">
        <v>7134</v>
      </c>
      <c r="C2832" s="5" t="s">
        <v>40</v>
      </c>
      <c r="D2832" s="5" t="s">
        <v>41</v>
      </c>
      <c r="E2832" s="5" t="s">
        <v>53</v>
      </c>
      <c r="F2832" s="9">
        <v>99</v>
      </c>
      <c r="G2832" s="9">
        <v>1056</v>
      </c>
      <c r="H2832" s="5" t="s">
        <v>21</v>
      </c>
      <c r="I2832" s="5" t="s">
        <v>7135</v>
      </c>
      <c r="J2832" s="12" t="str">
        <f>HYPERLINK("https://www.boe.es/gazeta/dias/1803/12/09/pdfs/GMD-1803-99.pdf#page=4","Abrir facsímil")</f>
        <v>Abrir facsímil</v>
      </c>
      <c r="K2832" s="15" t="s">
        <v>23</v>
      </c>
    </row>
    <row r="2833" spans="1:11" ht="42" customHeight="1">
      <c r="A2833" s="4" t="s">
        <v>7136</v>
      </c>
      <c r="B2833" s="5" t="s">
        <v>7137</v>
      </c>
      <c r="C2833" s="5" t="s">
        <v>51</v>
      </c>
      <c r="D2833" s="5" t="s">
        <v>52</v>
      </c>
      <c r="E2833" s="5" t="s">
        <v>77</v>
      </c>
      <c r="F2833" s="9">
        <v>64</v>
      </c>
      <c r="G2833" s="9">
        <v>696</v>
      </c>
      <c r="H2833" s="5" t="s">
        <v>21</v>
      </c>
      <c r="I2833" s="5" t="s">
        <v>7138</v>
      </c>
      <c r="J2833" s="12" t="str">
        <f>HYPERLINK("https://www.boe.es/gazeta/dias/1803/08/12/pdfs/GMD-1803-64.pdf#page=4","Abrir facsímil")</f>
        <v>Abrir facsímil</v>
      </c>
      <c r="K2833" s="15" t="s">
        <v>23</v>
      </c>
    </row>
    <row r="2834" spans="1:11" ht="42" customHeight="1">
      <c r="A2834" s="4" t="s">
        <v>7139</v>
      </c>
      <c r="B2834" s="5" t="s">
        <v>7140</v>
      </c>
      <c r="C2834" s="5" t="s">
        <v>26</v>
      </c>
      <c r="D2834" s="5" t="s">
        <v>27</v>
      </c>
      <c r="E2834" s="5" t="s">
        <v>128</v>
      </c>
      <c r="F2834" s="9">
        <v>80</v>
      </c>
      <c r="G2834" s="9">
        <v>860</v>
      </c>
      <c r="H2834" s="5" t="s">
        <v>21</v>
      </c>
      <c r="I2834" s="5" t="s">
        <v>7141</v>
      </c>
      <c r="J2834" s="12" t="str">
        <f>HYPERLINK("https://www.boe.es/gazeta/dias/1803/10/04/pdfs/GMD-1803-80.pdf#page=4","Abrir facsímil")</f>
        <v>Abrir facsímil</v>
      </c>
      <c r="K2834" s="15" t="s">
        <v>23</v>
      </c>
    </row>
    <row r="2835" spans="1:11" ht="42" customHeight="1">
      <c r="A2835" s="4" t="s">
        <v>7142</v>
      </c>
      <c r="B2835" s="5" t="s">
        <v>7143</v>
      </c>
      <c r="C2835" s="5" t="s">
        <v>40</v>
      </c>
      <c r="D2835" s="5" t="s">
        <v>41</v>
      </c>
      <c r="E2835" s="5" t="s">
        <v>784</v>
      </c>
      <c r="F2835" s="9">
        <v>86</v>
      </c>
      <c r="G2835" s="9">
        <v>924</v>
      </c>
      <c r="H2835" s="5" t="s">
        <v>21</v>
      </c>
      <c r="I2835" s="5" t="s">
        <v>7144</v>
      </c>
      <c r="J2835" s="12" t="str">
        <f>HYPERLINK("https://www.boe.es/gazeta/dias/1803/10/25/pdfs/GMD-1803-86.pdf#page=4","Abrir facsímil")</f>
        <v>Abrir facsímil</v>
      </c>
      <c r="K2835" s="15" t="s">
        <v>23</v>
      </c>
    </row>
    <row r="2836" spans="1:11" ht="42" customHeight="1">
      <c r="A2836" s="4" t="s">
        <v>7145</v>
      </c>
      <c r="B2836" s="5" t="s">
        <v>7146</v>
      </c>
      <c r="C2836" s="5" t="s">
        <v>26</v>
      </c>
      <c r="D2836" s="5" t="s">
        <v>27</v>
      </c>
      <c r="E2836" s="5" t="s">
        <v>28</v>
      </c>
      <c r="F2836" s="9">
        <v>92</v>
      </c>
      <c r="G2836" s="9">
        <v>986</v>
      </c>
      <c r="H2836" s="5" t="s">
        <v>21</v>
      </c>
      <c r="I2836" s="5" t="s">
        <v>7147</v>
      </c>
      <c r="J2836" s="12" t="str">
        <f>HYPERLINK("https://www.boe.es/gazeta/dias/1803/11/15/pdfs/GMD-1803-92.pdf#page=6","Abrir facsímil")</f>
        <v>Abrir facsímil</v>
      </c>
      <c r="K2836" s="15" t="s">
        <v>23</v>
      </c>
    </row>
    <row r="2837" spans="1:11" ht="42" customHeight="1">
      <c r="A2837" s="4" t="s">
        <v>7148</v>
      </c>
      <c r="B2837" s="5" t="s">
        <v>7149</v>
      </c>
      <c r="C2837" s="5" t="s">
        <v>18</v>
      </c>
      <c r="D2837" s="5" t="s">
        <v>19</v>
      </c>
      <c r="E2837" s="5" t="s">
        <v>373</v>
      </c>
      <c r="F2837" s="9">
        <v>77</v>
      </c>
      <c r="G2837" s="9">
        <v>833</v>
      </c>
      <c r="H2837" s="5" t="s">
        <v>21</v>
      </c>
      <c r="I2837" s="5" t="s">
        <v>7150</v>
      </c>
      <c r="J2837" s="12" t="str">
        <f>HYPERLINK("https://www.boe.es/gazeta/dias/1803/09/23/pdfs/GMD-1803-77.pdf#page=9","Abrir facsímil")</f>
        <v>Abrir facsímil</v>
      </c>
      <c r="K2837" s="15" t="s">
        <v>23</v>
      </c>
    </row>
    <row r="2838" spans="1:11" ht="42" customHeight="1">
      <c r="A2838" s="4" t="s">
        <v>7151</v>
      </c>
      <c r="B2838" s="5" t="s">
        <v>7152</v>
      </c>
      <c r="C2838" s="5" t="s">
        <v>26</v>
      </c>
      <c r="D2838" s="5" t="s">
        <v>27</v>
      </c>
      <c r="E2838" s="5" t="s">
        <v>395</v>
      </c>
      <c r="F2838" s="9">
        <v>13</v>
      </c>
      <c r="G2838" s="9">
        <v>134</v>
      </c>
      <c r="H2838" s="5" t="s">
        <v>21</v>
      </c>
      <c r="I2838" s="5" t="s">
        <v>7153</v>
      </c>
      <c r="J2838" s="12" t="str">
        <f>HYPERLINK("https://www.boe.es/gazeta/dias/1803/02/15/pdfs/GMD-1803-13.pdf#page=10","Abrir facsímil")</f>
        <v>Abrir facsímil</v>
      </c>
      <c r="K2838" s="15" t="s">
        <v>23</v>
      </c>
    </row>
    <row r="2839" spans="1:11" ht="42" customHeight="1">
      <c r="A2839" s="4" t="s">
        <v>7154</v>
      </c>
      <c r="B2839" s="5" t="s">
        <v>7155</v>
      </c>
      <c r="C2839" s="5" t="s">
        <v>18</v>
      </c>
      <c r="D2839" s="5" t="s">
        <v>19</v>
      </c>
      <c r="E2839" s="5" t="s">
        <v>519</v>
      </c>
      <c r="F2839" s="9">
        <v>50</v>
      </c>
      <c r="G2839" s="9">
        <v>543</v>
      </c>
      <c r="H2839" s="5" t="s">
        <v>21</v>
      </c>
      <c r="I2839" s="5" t="s">
        <v>7156</v>
      </c>
      <c r="J2839" s="12" t="str">
        <f>HYPERLINK("https://www.boe.es/gazeta/dias/1803/06/24/pdfs/GMD-1803-50.pdf#page=11","Abrir facsímil")</f>
        <v>Abrir facsímil</v>
      </c>
      <c r="K2839" s="15" t="s">
        <v>23</v>
      </c>
    </row>
    <row r="2840" spans="1:11" ht="42" customHeight="1">
      <c r="A2840" s="4" t="s">
        <v>7157</v>
      </c>
      <c r="B2840" s="5" t="s">
        <v>7158</v>
      </c>
      <c r="C2840" s="5" t="s">
        <v>40</v>
      </c>
      <c r="D2840" s="5" t="s">
        <v>41</v>
      </c>
      <c r="E2840" s="5" t="s">
        <v>795</v>
      </c>
      <c r="F2840" s="9">
        <v>98</v>
      </c>
      <c r="G2840" s="9">
        <v>1050</v>
      </c>
      <c r="H2840" s="5" t="s">
        <v>21</v>
      </c>
      <c r="I2840" s="5" t="s">
        <v>7159</v>
      </c>
      <c r="J2840" s="12" t="str">
        <f>HYPERLINK("https://www.boe.es/gazeta/dias/1803/12/06/pdfs/GMD-1803-98.pdf#page=6","Abrir facsímil")</f>
        <v>Abrir facsímil</v>
      </c>
      <c r="K2840" s="15" t="s">
        <v>23</v>
      </c>
    </row>
    <row r="2841" spans="1:11" ht="42" customHeight="1">
      <c r="A2841" s="4" t="s">
        <v>7160</v>
      </c>
      <c r="B2841" s="5" t="s">
        <v>7160</v>
      </c>
      <c r="C2841" s="5" t="s">
        <v>40</v>
      </c>
      <c r="D2841" s="5" t="s">
        <v>41</v>
      </c>
      <c r="E2841" s="5" t="s">
        <v>313</v>
      </c>
      <c r="F2841" s="9">
        <v>14</v>
      </c>
      <c r="G2841" s="9">
        <v>137</v>
      </c>
      <c r="H2841" s="5" t="s">
        <v>21</v>
      </c>
      <c r="I2841" s="5" t="s">
        <v>7161</v>
      </c>
      <c r="J2841" s="12" t="str">
        <f>HYPERLINK("https://www.boe.es/gazeta/dias/1803/02/18/pdfs/GMD-1803-14.pdf#page=1","Abrir facsímil")</f>
        <v>Abrir facsímil</v>
      </c>
      <c r="K2841" s="15" t="s">
        <v>23</v>
      </c>
    </row>
    <row r="2842" spans="1:11" ht="42" customHeight="1">
      <c r="A2842" s="4" t="s">
        <v>7162</v>
      </c>
      <c r="B2842" s="5" t="s">
        <v>7162</v>
      </c>
      <c r="C2842" s="5" t="s">
        <v>18</v>
      </c>
      <c r="D2842" s="5" t="s">
        <v>19</v>
      </c>
      <c r="E2842" s="5" t="s">
        <v>399</v>
      </c>
      <c r="F2842" s="9">
        <v>95</v>
      </c>
      <c r="G2842" s="9">
        <v>1017</v>
      </c>
      <c r="H2842" s="5" t="s">
        <v>21</v>
      </c>
      <c r="I2842" s="5" t="s">
        <v>7163</v>
      </c>
      <c r="J2842" s="12" t="str">
        <f>HYPERLINK("https://www.boe.es/gazeta/dias/1803/11/25/pdfs/GMD-1803-95.pdf#page=5","Abrir facsímil")</f>
        <v>Abrir facsímil</v>
      </c>
      <c r="K2842" s="15" t="s">
        <v>23</v>
      </c>
    </row>
    <row r="2843" spans="1:11" ht="42" customHeight="1">
      <c r="A2843" s="4" t="s">
        <v>7164</v>
      </c>
      <c r="B2843" s="5" t="s">
        <v>7165</v>
      </c>
      <c r="C2843" s="5" t="s">
        <v>26</v>
      </c>
      <c r="D2843" s="5" t="s">
        <v>27</v>
      </c>
      <c r="E2843" s="5" t="s">
        <v>71</v>
      </c>
      <c r="F2843" s="9">
        <v>39</v>
      </c>
      <c r="G2843" s="9">
        <v>412</v>
      </c>
      <c r="H2843" s="5" t="s">
        <v>21</v>
      </c>
      <c r="I2843" s="5" t="s">
        <v>7166</v>
      </c>
      <c r="J2843" s="12" t="str">
        <f>HYPERLINK("https://www.boe.es/gazeta/dias/1803/05/17/pdfs/GMD-1803-39.pdf#page=8","Abrir facsímil")</f>
        <v>Abrir facsímil</v>
      </c>
      <c r="K2843" s="15" t="s">
        <v>23</v>
      </c>
    </row>
    <row r="2844" spans="1:11" ht="42" customHeight="1">
      <c r="A2844" s="4" t="s">
        <v>7167</v>
      </c>
      <c r="B2844" s="5" t="s">
        <v>7167</v>
      </c>
      <c r="C2844" s="5" t="s">
        <v>80</v>
      </c>
      <c r="D2844" s="5" t="s">
        <v>81</v>
      </c>
      <c r="E2844" s="5" t="s">
        <v>519</v>
      </c>
      <c r="F2844" s="9">
        <v>50</v>
      </c>
      <c r="G2844" s="9">
        <v>543</v>
      </c>
      <c r="H2844" s="5" t="s">
        <v>21</v>
      </c>
      <c r="I2844" s="5" t="s">
        <v>7168</v>
      </c>
      <c r="J2844" s="12" t="str">
        <f>HYPERLINK("https://www.boe.es/gazeta/dias/1803/06/24/pdfs/GMD-1803-50.pdf#page=11","Abrir facsímil")</f>
        <v>Abrir facsímil</v>
      </c>
      <c r="K2844" s="15" t="s">
        <v>23</v>
      </c>
    </row>
    <row r="2845" spans="1:11" ht="42" customHeight="1">
      <c r="A2845" s="4" t="s">
        <v>7169</v>
      </c>
      <c r="B2845" s="5" t="s">
        <v>7169</v>
      </c>
      <c r="C2845" s="5" t="s">
        <v>26</v>
      </c>
      <c r="D2845" s="5" t="s">
        <v>27</v>
      </c>
      <c r="E2845" s="5" t="s">
        <v>138</v>
      </c>
      <c r="F2845" s="9">
        <v>68</v>
      </c>
      <c r="G2845" s="9">
        <v>741</v>
      </c>
      <c r="H2845" s="5" t="s">
        <v>21</v>
      </c>
      <c r="I2845" s="5" t="s">
        <v>7170</v>
      </c>
      <c r="J2845" s="12" t="str">
        <f>HYPERLINK("https://www.boe.es/gazeta/dias/1803/08/26/pdfs/GMD-1803-68.pdf#page=9","Abrir facsímil")</f>
        <v>Abrir facsímil</v>
      </c>
      <c r="K2845" s="15" t="s">
        <v>23</v>
      </c>
    </row>
    <row r="2846" spans="1:11" ht="42" customHeight="1">
      <c r="A2846" s="4" t="s">
        <v>7171</v>
      </c>
      <c r="B2846" s="5" t="s">
        <v>7171</v>
      </c>
      <c r="C2846" s="5" t="s">
        <v>26</v>
      </c>
      <c r="D2846" s="5" t="s">
        <v>27</v>
      </c>
      <c r="E2846" s="5" t="s">
        <v>403</v>
      </c>
      <c r="F2846" s="9">
        <v>91</v>
      </c>
      <c r="G2846" s="9">
        <v>977</v>
      </c>
      <c r="H2846" s="5" t="s">
        <v>21</v>
      </c>
      <c r="I2846" s="5" t="s">
        <v>7172</v>
      </c>
      <c r="J2846" s="12" t="str">
        <f>HYPERLINK("https://www.boe.es/gazeta/dias/1803/11/11/pdfs/GMD-1803-91.pdf#page=9","Abrir facsímil")</f>
        <v>Abrir facsímil</v>
      </c>
      <c r="K2846" s="15" t="s">
        <v>23</v>
      </c>
    </row>
    <row r="2847" spans="1:11" ht="42" customHeight="1">
      <c r="A2847" s="4" t="s">
        <v>7173</v>
      </c>
      <c r="B2847" s="5" t="s">
        <v>7174</v>
      </c>
      <c r="C2847" s="5" t="s">
        <v>26</v>
      </c>
      <c r="D2847" s="5" t="s">
        <v>27</v>
      </c>
      <c r="E2847" s="5" t="s">
        <v>523</v>
      </c>
      <c r="F2847" s="9">
        <v>101</v>
      </c>
      <c r="G2847" s="9">
        <v>1086</v>
      </c>
      <c r="H2847" s="5" t="s">
        <v>21</v>
      </c>
      <c r="I2847" s="5" t="s">
        <v>7175</v>
      </c>
      <c r="J2847" s="12" t="str">
        <f>HYPERLINK("https://www.boe.es/gazeta/dias/1803/12/16/pdfs/GMD-1803-101.pdf#page=10","Abrir facsímil")</f>
        <v>Abrir facsímil</v>
      </c>
      <c r="K2847" s="15" t="s">
        <v>23</v>
      </c>
    </row>
    <row r="2848" spans="1:11" ht="42" customHeight="1">
      <c r="A2848" s="4" t="s">
        <v>7176</v>
      </c>
      <c r="B2848" s="5" t="s">
        <v>7177</v>
      </c>
      <c r="C2848" s="5" t="s">
        <v>51</v>
      </c>
      <c r="D2848" s="5" t="s">
        <v>52</v>
      </c>
      <c r="E2848" s="5" t="s">
        <v>57</v>
      </c>
      <c r="F2848" s="9">
        <v>51</v>
      </c>
      <c r="G2848" s="9">
        <v>555</v>
      </c>
      <c r="H2848" s="5" t="s">
        <v>21</v>
      </c>
      <c r="I2848" s="5" t="s">
        <v>7178</v>
      </c>
      <c r="J2848" s="12" t="str">
        <f>HYPERLINK("https://www.boe.es/gazeta/dias/1803/06/28/pdfs/GMD-1803-51.pdf#page=11","Abrir facsímil")</f>
        <v>Abrir facsímil</v>
      </c>
      <c r="K2848" s="15" t="s">
        <v>23</v>
      </c>
    </row>
    <row r="2849" spans="1:11" ht="42" customHeight="1">
      <c r="A2849" s="4" t="s">
        <v>7179</v>
      </c>
      <c r="B2849" s="5" t="s">
        <v>7180</v>
      </c>
      <c r="C2849" s="5" t="s">
        <v>26</v>
      </c>
      <c r="D2849" s="5" t="s">
        <v>27</v>
      </c>
      <c r="E2849" s="5" t="s">
        <v>795</v>
      </c>
      <c r="F2849" s="9">
        <v>98</v>
      </c>
      <c r="G2849" s="9">
        <v>1050</v>
      </c>
      <c r="H2849" s="5" t="s">
        <v>21</v>
      </c>
      <c r="I2849" s="5" t="s">
        <v>7181</v>
      </c>
      <c r="J2849" s="12" t="str">
        <f>HYPERLINK("https://www.boe.es/gazeta/dias/1803/12/06/pdfs/GMD-1803-98.pdf#page=6","Abrir facsímil")</f>
        <v>Abrir facsímil</v>
      </c>
      <c r="K2849" s="15" t="s">
        <v>23</v>
      </c>
    </row>
    <row r="2850" spans="1:11" ht="42" customHeight="1">
      <c r="A2850" s="4" t="s">
        <v>7182</v>
      </c>
      <c r="B2850" s="5" t="s">
        <v>7183</v>
      </c>
      <c r="C2850" s="5" t="s">
        <v>40</v>
      </c>
      <c r="D2850" s="5" t="s">
        <v>41</v>
      </c>
      <c r="E2850" s="5" t="s">
        <v>20</v>
      </c>
      <c r="F2850" s="9">
        <v>97</v>
      </c>
      <c r="G2850" s="9">
        <v>1038</v>
      </c>
      <c r="H2850" s="5" t="s">
        <v>21</v>
      </c>
      <c r="I2850" s="5" t="s">
        <v>7184</v>
      </c>
      <c r="J2850" s="12" t="str">
        <f>HYPERLINK("https://www.boe.es/gazeta/dias/1803/12/02/pdfs/GMD-1803-97.pdf#page=2","Abrir facsímil")</f>
        <v>Abrir facsímil</v>
      </c>
      <c r="K2850" s="15" t="s">
        <v>23</v>
      </c>
    </row>
    <row r="2851" spans="1:11" ht="42" customHeight="1">
      <c r="A2851" s="4" t="s">
        <v>7182</v>
      </c>
      <c r="B2851" s="5" t="s">
        <v>7183</v>
      </c>
      <c r="C2851" s="5" t="s">
        <v>26</v>
      </c>
      <c r="D2851" s="5" t="s">
        <v>27</v>
      </c>
      <c r="E2851" s="5" t="s">
        <v>795</v>
      </c>
      <c r="F2851" s="9">
        <v>98</v>
      </c>
      <c r="G2851" s="9">
        <v>1046</v>
      </c>
      <c r="H2851" s="5" t="s">
        <v>21</v>
      </c>
      <c r="I2851" s="5" t="s">
        <v>7185</v>
      </c>
      <c r="J2851" s="12" t="str">
        <f>HYPERLINK("https://www.boe.es/gazeta/dias/1803/12/06/pdfs/GMD-1803-98.pdf#page=2","Abrir facsímil")</f>
        <v>Abrir facsímil</v>
      </c>
      <c r="K2851" s="15" t="s">
        <v>23</v>
      </c>
    </row>
    <row r="2852" spans="1:11" ht="42" customHeight="1">
      <c r="A2852" s="4" t="s">
        <v>7186</v>
      </c>
      <c r="B2852" s="5" t="s">
        <v>7187</v>
      </c>
      <c r="C2852" s="5" t="s">
        <v>80</v>
      </c>
      <c r="D2852" s="5" t="s">
        <v>81</v>
      </c>
      <c r="E2852" s="5" t="s">
        <v>606</v>
      </c>
      <c r="F2852" s="9">
        <v>47</v>
      </c>
      <c r="G2852" s="9">
        <v>492</v>
      </c>
      <c r="H2852" s="5" t="s">
        <v>21</v>
      </c>
      <c r="I2852" s="5" t="s">
        <v>7188</v>
      </c>
      <c r="J2852" s="12" t="str">
        <f>HYPERLINK("https://www.boe.es/gazeta/dias/1803/06/14/pdfs/GMD-1803-47.pdf#page=4","Abrir facsímil")</f>
        <v>Abrir facsímil</v>
      </c>
      <c r="K2852" s="15" t="s">
        <v>23</v>
      </c>
    </row>
    <row r="2853" spans="1:11" ht="42" customHeight="1">
      <c r="A2853" s="4" t="s">
        <v>7189</v>
      </c>
      <c r="B2853" s="5" t="s">
        <v>7189</v>
      </c>
      <c r="C2853" s="5" t="s">
        <v>18</v>
      </c>
      <c r="D2853" s="5" t="s">
        <v>19</v>
      </c>
      <c r="E2853" s="5" t="s">
        <v>882</v>
      </c>
      <c r="F2853" s="9">
        <v>60</v>
      </c>
      <c r="G2853" s="9">
        <v>657</v>
      </c>
      <c r="H2853" s="5" t="s">
        <v>21</v>
      </c>
      <c r="I2853" s="5" t="s">
        <v>7190</v>
      </c>
      <c r="J2853" s="12" t="str">
        <f>HYPERLINK("https://www.boe.es/gazeta/dias/1803/07/29/pdfs/GMD-1803-60.pdf#page=9","Abrir facsímil")</f>
        <v>Abrir facsímil</v>
      </c>
      <c r="K2853" s="15" t="s">
        <v>23</v>
      </c>
    </row>
    <row r="2854" spans="1:11" ht="42" customHeight="1">
      <c r="A2854" s="4" t="s">
        <v>7191</v>
      </c>
      <c r="B2854" s="5" t="s">
        <v>7192</v>
      </c>
      <c r="C2854" s="5" t="s">
        <v>40</v>
      </c>
      <c r="D2854" s="5" t="s">
        <v>41</v>
      </c>
      <c r="E2854" s="5" t="s">
        <v>178</v>
      </c>
      <c r="F2854" s="9">
        <v>36</v>
      </c>
      <c r="G2854" s="9">
        <v>372</v>
      </c>
      <c r="H2854" s="5" t="s">
        <v>21</v>
      </c>
      <c r="I2854" s="5" t="s">
        <v>7193</v>
      </c>
      <c r="J2854" s="12" t="str">
        <f>HYPERLINK("https://www.boe.es/gazeta/dias/1803/05/06/pdfs/GMD-1803-36.pdf#page=4","Abrir facsímil")</f>
        <v>Abrir facsímil</v>
      </c>
      <c r="K2854" s="15" t="s">
        <v>23</v>
      </c>
    </row>
    <row r="2855" spans="1:11" ht="42" customHeight="1">
      <c r="A2855" s="4" t="s">
        <v>7194</v>
      </c>
      <c r="B2855" s="5" t="s">
        <v>7195</v>
      </c>
      <c r="C2855" s="5" t="s">
        <v>40</v>
      </c>
      <c r="D2855" s="5" t="s">
        <v>41</v>
      </c>
      <c r="E2855" s="5" t="s">
        <v>609</v>
      </c>
      <c r="F2855" s="9">
        <v>57</v>
      </c>
      <c r="G2855" s="9">
        <v>615</v>
      </c>
      <c r="H2855" s="5" t="s">
        <v>21</v>
      </c>
      <c r="I2855" s="5" t="s">
        <v>7196</v>
      </c>
      <c r="J2855" s="12" t="str">
        <f>HYPERLINK("https://www.boe.es/gazeta/dias/1803/07/19/pdfs/GMD-1803-57.pdf#page=3","Abrir facsímil")</f>
        <v>Abrir facsímil</v>
      </c>
      <c r="K2855" s="15" t="s">
        <v>23</v>
      </c>
    </row>
    <row r="2856" spans="1:11" ht="42" customHeight="1">
      <c r="A2856" s="4" t="s">
        <v>7197</v>
      </c>
      <c r="B2856" s="5" t="s">
        <v>7198</v>
      </c>
      <c r="C2856" s="5" t="s">
        <v>80</v>
      </c>
      <c r="D2856" s="5" t="s">
        <v>81</v>
      </c>
      <c r="E2856" s="5" t="s">
        <v>203</v>
      </c>
      <c r="F2856" s="9">
        <v>32</v>
      </c>
      <c r="G2856" s="9">
        <v>338</v>
      </c>
      <c r="H2856" s="5" t="s">
        <v>21</v>
      </c>
      <c r="I2856" s="5" t="s">
        <v>7199</v>
      </c>
      <c r="J2856" s="12" t="str">
        <f>HYPERLINK("https://www.boe.es/gazeta/dias/1803/04/22/pdfs/GMD-1803-32.pdf#page=10","Abrir facsímil")</f>
        <v>Abrir facsímil</v>
      </c>
      <c r="K2856" s="15" t="s">
        <v>23</v>
      </c>
    </row>
    <row r="2857" spans="1:11" ht="42" customHeight="1">
      <c r="A2857" s="4" t="s">
        <v>7197</v>
      </c>
      <c r="B2857" s="5" t="s">
        <v>7198</v>
      </c>
      <c r="C2857" s="5" t="s">
        <v>26</v>
      </c>
      <c r="D2857" s="5" t="s">
        <v>27</v>
      </c>
      <c r="E2857" s="5" t="s">
        <v>328</v>
      </c>
      <c r="F2857" s="9">
        <v>54</v>
      </c>
      <c r="G2857" s="9">
        <v>590</v>
      </c>
      <c r="H2857" s="5" t="s">
        <v>21</v>
      </c>
      <c r="I2857" s="5" t="s">
        <v>7200</v>
      </c>
      <c r="J2857" s="12" t="str">
        <f>HYPERLINK("https://www.boe.es/gazeta/dias/1803/07/08/pdfs/GMD-1803-54.pdf#page=10","Abrir facsímil")</f>
        <v>Abrir facsímil</v>
      </c>
      <c r="K2857" s="15" t="s">
        <v>23</v>
      </c>
    </row>
    <row r="2858" spans="1:11" ht="42" customHeight="1">
      <c r="A2858" s="4" t="s">
        <v>7201</v>
      </c>
      <c r="B2858" s="5" t="s">
        <v>7201</v>
      </c>
      <c r="C2858" s="5" t="s">
        <v>26</v>
      </c>
      <c r="D2858" s="5" t="s">
        <v>27</v>
      </c>
      <c r="E2858" s="5" t="s">
        <v>258</v>
      </c>
      <c r="F2858" s="9">
        <v>7</v>
      </c>
      <c r="G2858" s="9">
        <v>70</v>
      </c>
      <c r="H2858" s="5" t="s">
        <v>21</v>
      </c>
      <c r="I2858" s="5" t="s">
        <v>7202</v>
      </c>
      <c r="J2858" s="12" t="str">
        <f>HYPERLINK("https://www.boe.es/gazeta/dias/1803/01/25/pdfs/GMD-1803-7.pdf#page=10","Abrir facsímil")</f>
        <v>Abrir facsímil</v>
      </c>
      <c r="K2858" s="15" t="s">
        <v>23</v>
      </c>
    </row>
    <row r="2859" spans="1:11" ht="42" customHeight="1">
      <c r="A2859" s="4" t="s">
        <v>7203</v>
      </c>
      <c r="B2859" s="5" t="s">
        <v>7204</v>
      </c>
      <c r="C2859" s="5" t="s">
        <v>26</v>
      </c>
      <c r="D2859" s="5" t="s">
        <v>27</v>
      </c>
      <c r="E2859" s="5" t="s">
        <v>160</v>
      </c>
      <c r="F2859" s="9">
        <v>81</v>
      </c>
      <c r="G2859" s="9">
        <v>876</v>
      </c>
      <c r="H2859" s="5" t="s">
        <v>21</v>
      </c>
      <c r="I2859" s="5" t="s">
        <v>7205</v>
      </c>
      <c r="J2859" s="12" t="str">
        <f>HYPERLINK("https://www.boe.es/gazeta/dias/1803/10/07/pdfs/GMD-1803-81.pdf#page=12","Abrir facsímil")</f>
        <v>Abrir facsímil</v>
      </c>
      <c r="K2859" s="15" t="s">
        <v>23</v>
      </c>
    </row>
    <row r="2860" spans="1:11" ht="42" customHeight="1">
      <c r="A2860" s="4" t="s">
        <v>7206</v>
      </c>
      <c r="B2860" s="5" t="s">
        <v>7207</v>
      </c>
      <c r="C2860" s="5" t="s">
        <v>26</v>
      </c>
      <c r="D2860" s="5" t="s">
        <v>27</v>
      </c>
      <c r="E2860" s="5" t="s">
        <v>148</v>
      </c>
      <c r="F2860" s="9">
        <v>15</v>
      </c>
      <c r="G2860" s="9">
        <v>157</v>
      </c>
      <c r="H2860" s="5" t="s">
        <v>21</v>
      </c>
      <c r="I2860" s="5" t="s">
        <v>7208</v>
      </c>
      <c r="J2860" s="12" t="str">
        <f>HYPERLINK("https://www.boe.es/gazeta/dias/1803/02/22/pdfs/GMD-1803-15.pdf#page=9","Abrir facsímil")</f>
        <v>Abrir facsímil</v>
      </c>
      <c r="K2860" s="15" t="s">
        <v>23</v>
      </c>
    </row>
    <row r="2861" spans="1:11" ht="42" customHeight="1">
      <c r="A2861" s="4" t="s">
        <v>7209</v>
      </c>
      <c r="B2861" s="5" t="s">
        <v>7210</v>
      </c>
      <c r="C2861" s="5" t="s">
        <v>26</v>
      </c>
      <c r="D2861" s="5" t="s">
        <v>27</v>
      </c>
      <c r="E2861" s="5" t="s">
        <v>496</v>
      </c>
      <c r="F2861" s="9">
        <v>90</v>
      </c>
      <c r="G2861" s="9">
        <v>966</v>
      </c>
      <c r="H2861" s="5" t="s">
        <v>21</v>
      </c>
      <c r="I2861" s="5" t="s">
        <v>7211</v>
      </c>
      <c r="J2861" s="12" t="str">
        <f>HYPERLINK("https://www.boe.es/gazeta/dias/1803/11/08/pdfs/GMD-1803-90.pdf#page=6","Abrir facsímil")</f>
        <v>Abrir facsímil</v>
      </c>
      <c r="K2861" s="15" t="s">
        <v>23</v>
      </c>
    </row>
    <row r="2862" spans="1:11" ht="42" customHeight="1">
      <c r="A2862" s="4" t="s">
        <v>7212</v>
      </c>
      <c r="B2862" s="5" t="s">
        <v>7213</v>
      </c>
      <c r="C2862" s="5" t="s">
        <v>40</v>
      </c>
      <c r="D2862" s="5" t="s">
        <v>41</v>
      </c>
      <c r="E2862" s="5" t="s">
        <v>1915</v>
      </c>
      <c r="F2862" s="9">
        <v>44</v>
      </c>
      <c r="G2862" s="9">
        <v>454</v>
      </c>
      <c r="H2862" s="5" t="s">
        <v>21</v>
      </c>
      <c r="I2862" s="5" t="s">
        <v>7214</v>
      </c>
      <c r="J2862" s="12" t="str">
        <f>HYPERLINK("https://www.boe.es/gazeta/dias/1803/06/03/pdfs/GMD-1803-44.pdf#page=2","Abrir facsímil")</f>
        <v>Abrir facsímil</v>
      </c>
      <c r="K2862" s="15" t="s">
        <v>23</v>
      </c>
    </row>
    <row r="2863" spans="1:11" ht="42" customHeight="1">
      <c r="A2863" s="4" t="s">
        <v>7215</v>
      </c>
      <c r="B2863" s="5" t="s">
        <v>7215</v>
      </c>
      <c r="C2863" s="5" t="s">
        <v>80</v>
      </c>
      <c r="D2863" s="5" t="s">
        <v>81</v>
      </c>
      <c r="E2863" s="5" t="s">
        <v>285</v>
      </c>
      <c r="F2863" s="9">
        <v>5</v>
      </c>
      <c r="G2863" s="9">
        <v>48</v>
      </c>
      <c r="H2863" s="5" t="s">
        <v>21</v>
      </c>
      <c r="I2863" s="5" t="s">
        <v>7216</v>
      </c>
      <c r="J2863" s="12" t="str">
        <f>HYPERLINK("https://www.boe.es/gazeta/dias/1803/01/18/pdfs/GMD-1803-5.pdf#page=12","Abrir facsímil")</f>
        <v>Abrir facsímil</v>
      </c>
      <c r="K2863" s="15" t="s">
        <v>23</v>
      </c>
    </row>
    <row r="2864" spans="1:11" ht="42" customHeight="1">
      <c r="A2864" s="4" t="s">
        <v>7217</v>
      </c>
      <c r="B2864" s="5" t="s">
        <v>7218</v>
      </c>
      <c r="C2864" s="5" t="s">
        <v>40</v>
      </c>
      <c r="D2864" s="5" t="s">
        <v>41</v>
      </c>
      <c r="E2864" s="5" t="s">
        <v>191</v>
      </c>
      <c r="F2864" s="9">
        <v>34</v>
      </c>
      <c r="G2864" s="9">
        <v>358</v>
      </c>
      <c r="H2864" s="5" t="s">
        <v>21</v>
      </c>
      <c r="I2864" s="5" t="s">
        <v>7219</v>
      </c>
      <c r="J2864" s="12" t="str">
        <f>HYPERLINK("https://www.boe.es/gazeta/dias/1803/04/29/pdfs/GMD-1803-34.pdf#page=6","Abrir facsímil")</f>
        <v>Abrir facsímil</v>
      </c>
      <c r="K2864" s="15" t="s">
        <v>23</v>
      </c>
    </row>
    <row r="2865" spans="1:11" ht="42" customHeight="1">
      <c r="A2865" s="4" t="s">
        <v>7220</v>
      </c>
      <c r="B2865" s="5" t="s">
        <v>7221</v>
      </c>
      <c r="C2865" s="5" t="s">
        <v>51</v>
      </c>
      <c r="D2865" s="5" t="s">
        <v>52</v>
      </c>
      <c r="E2865" s="5" t="s">
        <v>369</v>
      </c>
      <c r="F2865" s="9">
        <v>100</v>
      </c>
      <c r="G2865" s="9">
        <v>1076</v>
      </c>
      <c r="H2865" s="5" t="s">
        <v>21</v>
      </c>
      <c r="I2865" s="5" t="s">
        <v>7222</v>
      </c>
      <c r="J2865" s="12" t="str">
        <f>HYPERLINK("https://www.boe.es/gazeta/dias/1803/12/13/pdfs/GMD-1803-100.pdf#page=12","Abrir facsímil")</f>
        <v>Abrir facsímil</v>
      </c>
      <c r="K2865" s="15" t="s">
        <v>23</v>
      </c>
    </row>
    <row r="2866" spans="1:11" ht="42" customHeight="1">
      <c r="A2866" s="4" t="s">
        <v>7223</v>
      </c>
      <c r="B2866" s="5" t="s">
        <v>7224</v>
      </c>
      <c r="C2866" s="5" t="s">
        <v>40</v>
      </c>
      <c r="D2866" s="5" t="s">
        <v>41</v>
      </c>
      <c r="E2866" s="5" t="s">
        <v>132</v>
      </c>
      <c r="F2866" s="9">
        <v>58</v>
      </c>
      <c r="G2866" s="9">
        <v>639</v>
      </c>
      <c r="H2866" s="5" t="s">
        <v>21</v>
      </c>
      <c r="I2866" s="5" t="s">
        <v>7225</v>
      </c>
      <c r="J2866" s="12" t="str">
        <f>HYPERLINK("https://www.boe.es/gazeta/dias/1803/07/22/pdfs/GMD-1803-58.pdf#page=11","Abrir facsímil")</f>
        <v>Abrir facsímil</v>
      </c>
      <c r="K2866" s="15" t="s">
        <v>23</v>
      </c>
    </row>
    <row r="2867" spans="1:11" ht="42" customHeight="1">
      <c r="A2867" s="4" t="s">
        <v>7226</v>
      </c>
      <c r="B2867" s="5" t="s">
        <v>7227</v>
      </c>
      <c r="C2867" s="5" t="s">
        <v>26</v>
      </c>
      <c r="D2867" s="5" t="s">
        <v>27</v>
      </c>
      <c r="E2867" s="5" t="s">
        <v>514</v>
      </c>
      <c r="F2867" s="9">
        <v>42</v>
      </c>
      <c r="G2867" s="9">
        <v>439</v>
      </c>
      <c r="H2867" s="5" t="s">
        <v>21</v>
      </c>
      <c r="I2867" s="5" t="s">
        <v>7228</v>
      </c>
      <c r="J2867" s="12" t="str">
        <f>HYPERLINK("https://www.boe.es/gazeta/dias/1803/05/27/pdfs/GMD-1803-42.pdf#page=7","Abrir facsímil")</f>
        <v>Abrir facsímil</v>
      </c>
      <c r="K2867" s="15" t="s">
        <v>23</v>
      </c>
    </row>
    <row r="2868" spans="1:11" ht="42" customHeight="1">
      <c r="A2868" s="4" t="s">
        <v>7229</v>
      </c>
      <c r="B2868" s="5" t="s">
        <v>7230</v>
      </c>
      <c r="C2868" s="5" t="s">
        <v>40</v>
      </c>
      <c r="D2868" s="5" t="s">
        <v>41</v>
      </c>
      <c r="E2868" s="5" t="s">
        <v>784</v>
      </c>
      <c r="F2868" s="9">
        <v>86</v>
      </c>
      <c r="G2868" s="9">
        <v>926</v>
      </c>
      <c r="H2868" s="5" t="s">
        <v>21</v>
      </c>
      <c r="I2868" s="5" t="s">
        <v>7231</v>
      </c>
      <c r="J2868" s="12" t="str">
        <f>HYPERLINK("https://www.boe.es/gazeta/dias/1803/10/25/pdfs/GMD-1803-86.pdf#page=6","Abrir facsímil")</f>
        <v>Abrir facsímil</v>
      </c>
      <c r="K2868" s="15" t="s">
        <v>23</v>
      </c>
    </row>
    <row r="2869" spans="1:11" ht="42" customHeight="1">
      <c r="A2869" s="4" t="s">
        <v>7232</v>
      </c>
      <c r="B2869" s="5" t="s">
        <v>7233</v>
      </c>
      <c r="C2869" s="5" t="s">
        <v>26</v>
      </c>
      <c r="D2869" s="5" t="s">
        <v>27</v>
      </c>
      <c r="E2869" s="5" t="s">
        <v>71</v>
      </c>
      <c r="F2869" s="9">
        <v>39</v>
      </c>
      <c r="G2869" s="9">
        <v>412</v>
      </c>
      <c r="H2869" s="5" t="s">
        <v>21</v>
      </c>
      <c r="I2869" s="5" t="s">
        <v>7234</v>
      </c>
      <c r="J2869" s="12" t="str">
        <f>HYPERLINK("https://www.boe.es/gazeta/dias/1803/05/17/pdfs/GMD-1803-39.pdf#page=8","Abrir facsímil")</f>
        <v>Abrir facsímil</v>
      </c>
      <c r="K2869" s="15" t="s">
        <v>23</v>
      </c>
    </row>
    <row r="2870" spans="1:11" ht="42" customHeight="1">
      <c r="A2870" s="4" t="s">
        <v>7235</v>
      </c>
      <c r="B2870" s="5" t="s">
        <v>7236</v>
      </c>
      <c r="C2870" s="5" t="s">
        <v>26</v>
      </c>
      <c r="D2870" s="5" t="s">
        <v>27</v>
      </c>
      <c r="E2870" s="5" t="s">
        <v>361</v>
      </c>
      <c r="F2870" s="9">
        <v>62</v>
      </c>
      <c r="G2870" s="9">
        <v>676</v>
      </c>
      <c r="H2870" s="5" t="s">
        <v>21</v>
      </c>
      <c r="I2870" s="5" t="s">
        <v>7237</v>
      </c>
      <c r="J2870" s="12" t="str">
        <f>HYPERLINK("https://www.boe.es/gazeta/dias/1803/08/05/pdfs/GMD-1803-62.pdf#page=8","Abrir facsímil")</f>
        <v>Abrir facsímil</v>
      </c>
      <c r="K2870" s="15" t="s">
        <v>23</v>
      </c>
    </row>
    <row r="2871" spans="1:11" ht="42" customHeight="1">
      <c r="A2871" s="4" t="s">
        <v>7238</v>
      </c>
      <c r="B2871" s="5" t="s">
        <v>7239</v>
      </c>
      <c r="C2871" s="5" t="s">
        <v>26</v>
      </c>
      <c r="D2871" s="5" t="s">
        <v>27</v>
      </c>
      <c r="E2871" s="5" t="s">
        <v>203</v>
      </c>
      <c r="F2871" s="9">
        <v>32</v>
      </c>
      <c r="G2871" s="9">
        <v>336</v>
      </c>
      <c r="H2871" s="5" t="s">
        <v>21</v>
      </c>
      <c r="I2871" s="5" t="s">
        <v>7240</v>
      </c>
      <c r="J2871" s="12" t="str">
        <f>HYPERLINK("https://www.boe.es/gazeta/dias/1803/04/22/pdfs/GMD-1803-32.pdf#page=8","Abrir facsímil")</f>
        <v>Abrir facsímil</v>
      </c>
      <c r="K2871" s="15" t="s">
        <v>23</v>
      </c>
    </row>
    <row r="2872" spans="1:11" ht="42" customHeight="1">
      <c r="A2872" s="4" t="s">
        <v>7241</v>
      </c>
      <c r="B2872" s="5" t="s">
        <v>7242</v>
      </c>
      <c r="C2872" s="5" t="s">
        <v>26</v>
      </c>
      <c r="D2872" s="5" t="s">
        <v>27</v>
      </c>
      <c r="E2872" s="5" t="s">
        <v>523</v>
      </c>
      <c r="F2872" s="9">
        <v>101</v>
      </c>
      <c r="G2872" s="9">
        <v>1086</v>
      </c>
      <c r="H2872" s="5" t="s">
        <v>21</v>
      </c>
      <c r="I2872" s="5" t="s">
        <v>7243</v>
      </c>
      <c r="J2872" s="12" t="str">
        <f>HYPERLINK("https://www.boe.es/gazeta/dias/1803/12/16/pdfs/GMD-1803-101.pdf#page=10","Abrir facsímil")</f>
        <v>Abrir facsímil</v>
      </c>
      <c r="K2872" s="15" t="s">
        <v>23</v>
      </c>
    </row>
    <row r="2873" spans="1:11" ht="42" customHeight="1">
      <c r="A2873" s="4" t="s">
        <v>7244</v>
      </c>
      <c r="B2873" s="5" t="s">
        <v>7245</v>
      </c>
      <c r="C2873" s="5" t="s">
        <v>26</v>
      </c>
      <c r="D2873" s="5" t="s">
        <v>27</v>
      </c>
      <c r="E2873" s="5" t="s">
        <v>117</v>
      </c>
      <c r="F2873" s="9">
        <v>59</v>
      </c>
      <c r="G2873" s="9">
        <v>646</v>
      </c>
      <c r="H2873" s="5" t="s">
        <v>21</v>
      </c>
      <c r="I2873" s="5" t="s">
        <v>7246</v>
      </c>
      <c r="J2873" s="12" t="str">
        <f>HYPERLINK("https://www.boe.es/gazeta/dias/1803/07/26/pdfs/GMD-1803-59.pdf#page=6","Abrir facsímil")</f>
        <v>Abrir facsímil</v>
      </c>
      <c r="K2873" s="15" t="s">
        <v>23</v>
      </c>
    </row>
    <row r="2874" spans="1:11" ht="42" customHeight="1">
      <c r="A2874" s="4" t="s">
        <v>7247</v>
      </c>
      <c r="B2874" s="5" t="s">
        <v>7248</v>
      </c>
      <c r="C2874" s="5" t="s">
        <v>18</v>
      </c>
      <c r="D2874" s="5" t="s">
        <v>19</v>
      </c>
      <c r="E2874" s="5" t="s">
        <v>203</v>
      </c>
      <c r="F2874" s="9">
        <v>32</v>
      </c>
      <c r="G2874" s="9">
        <v>336</v>
      </c>
      <c r="H2874" s="5" t="s">
        <v>21</v>
      </c>
      <c r="I2874" s="5" t="s">
        <v>7249</v>
      </c>
      <c r="J2874" s="12" t="str">
        <f>HYPERLINK("https://www.boe.es/gazeta/dias/1803/04/22/pdfs/GMD-1803-32.pdf#page=8","Abrir facsímil")</f>
        <v>Abrir facsímil</v>
      </c>
      <c r="K2874" s="15" t="s">
        <v>23</v>
      </c>
    </row>
    <row r="2875" spans="1:11" ht="42" customHeight="1">
      <c r="A2875" s="4" t="s">
        <v>7250</v>
      </c>
      <c r="B2875" s="5" t="s">
        <v>7251</v>
      </c>
      <c r="C2875" s="5" t="s">
        <v>26</v>
      </c>
      <c r="D2875" s="5" t="s">
        <v>27</v>
      </c>
      <c r="E2875" s="5" t="s">
        <v>191</v>
      </c>
      <c r="F2875" s="9">
        <v>34</v>
      </c>
      <c r="G2875" s="9">
        <v>357</v>
      </c>
      <c r="H2875" s="5" t="s">
        <v>21</v>
      </c>
      <c r="I2875" s="5" t="s">
        <v>7252</v>
      </c>
      <c r="J2875" s="12" t="str">
        <f>HYPERLINK("https://www.boe.es/gazeta/dias/1803/04/29/pdfs/GMD-1803-34.pdf#page=5","Abrir facsímil")</f>
        <v>Abrir facsímil</v>
      </c>
      <c r="K2875" s="15" t="s">
        <v>23</v>
      </c>
    </row>
    <row r="2876" spans="1:11" ht="42" customHeight="1">
      <c r="A2876" s="4" t="s">
        <v>7253</v>
      </c>
      <c r="B2876" s="5" t="s">
        <v>7254</v>
      </c>
      <c r="C2876" s="5" t="s">
        <v>26</v>
      </c>
      <c r="D2876" s="5" t="s">
        <v>27</v>
      </c>
      <c r="E2876" s="5" t="s">
        <v>214</v>
      </c>
      <c r="F2876" s="9">
        <v>17</v>
      </c>
      <c r="G2876" s="9">
        <v>179</v>
      </c>
      <c r="H2876" s="5" t="s">
        <v>21</v>
      </c>
      <c r="I2876" s="5" t="s">
        <v>7255</v>
      </c>
      <c r="J2876" s="12" t="str">
        <f>HYPERLINK("https://www.boe.es/gazeta/dias/1803/03/01/pdfs/GMD-1803-17.pdf#page=11","Abrir facsímil")</f>
        <v>Abrir facsímil</v>
      </c>
      <c r="K2876" s="15" t="s">
        <v>23</v>
      </c>
    </row>
    <row r="2877" spans="1:11" ht="42" customHeight="1">
      <c r="A2877" s="4" t="s">
        <v>7256</v>
      </c>
      <c r="B2877" s="5" t="s">
        <v>7256</v>
      </c>
      <c r="C2877" s="5" t="s">
        <v>51</v>
      </c>
      <c r="D2877" s="5" t="s">
        <v>52</v>
      </c>
      <c r="E2877" s="5" t="s">
        <v>389</v>
      </c>
      <c r="F2877" s="9">
        <v>41</v>
      </c>
      <c r="G2877" s="9">
        <v>432</v>
      </c>
      <c r="H2877" s="5" t="s">
        <v>21</v>
      </c>
      <c r="I2877" s="5" t="s">
        <v>7257</v>
      </c>
      <c r="J2877" s="12" t="str">
        <f>HYPERLINK("https://www.boe.es/gazeta/dias/1803/05/24/pdfs/GMD-1803-41.pdf#page=8","Abrir facsímil")</f>
        <v>Abrir facsímil</v>
      </c>
      <c r="K2877" s="15" t="s">
        <v>23</v>
      </c>
    </row>
    <row r="2878" spans="1:11" ht="42" customHeight="1">
      <c r="A2878" s="4" t="s">
        <v>7258</v>
      </c>
      <c r="B2878" s="5" t="s">
        <v>7258</v>
      </c>
      <c r="C2878" s="5" t="s">
        <v>80</v>
      </c>
      <c r="D2878" s="5" t="s">
        <v>81</v>
      </c>
      <c r="E2878" s="5" t="s">
        <v>93</v>
      </c>
      <c r="F2878" s="9">
        <v>43</v>
      </c>
      <c r="G2878" s="9">
        <v>452</v>
      </c>
      <c r="H2878" s="5" t="s">
        <v>21</v>
      </c>
      <c r="I2878" s="5" t="s">
        <v>7259</v>
      </c>
      <c r="J2878" s="12" t="str">
        <f>HYPERLINK("https://www.boe.es/gazeta/dias/1803/05/31/pdfs/GMD-1803-43.pdf#page=12","Abrir facsímil")</f>
        <v>Abrir facsímil</v>
      </c>
      <c r="K2878" s="15" t="s">
        <v>23</v>
      </c>
    </row>
    <row r="2879" spans="1:11" ht="42" customHeight="1">
      <c r="A2879" s="4" t="s">
        <v>7260</v>
      </c>
      <c r="B2879" s="5" t="s">
        <v>7261</v>
      </c>
      <c r="C2879" s="5" t="s">
        <v>40</v>
      </c>
      <c r="D2879" s="5" t="s">
        <v>41</v>
      </c>
      <c r="E2879" s="5" t="s">
        <v>630</v>
      </c>
      <c r="F2879" s="9">
        <v>85</v>
      </c>
      <c r="G2879" s="9">
        <v>914</v>
      </c>
      <c r="H2879" s="5" t="s">
        <v>21</v>
      </c>
      <c r="I2879" s="5" t="s">
        <v>7262</v>
      </c>
      <c r="J2879" s="12" t="str">
        <f>HYPERLINK("https://www.boe.es/gazeta/dias/1803/10/21/pdfs/GMD-1803-85.pdf#page=6","Abrir facsímil")</f>
        <v>Abrir facsímil</v>
      </c>
      <c r="K2879" s="15" t="s">
        <v>23</v>
      </c>
    </row>
    <row r="2880" spans="1:11" ht="42" customHeight="1">
      <c r="A2880" s="4" t="s">
        <v>7263</v>
      </c>
      <c r="B2880" s="5" t="s">
        <v>7263</v>
      </c>
      <c r="C2880" s="5" t="s">
        <v>26</v>
      </c>
      <c r="D2880" s="5" t="s">
        <v>27</v>
      </c>
      <c r="E2880" s="5" t="s">
        <v>272</v>
      </c>
      <c r="F2880" s="9">
        <v>25</v>
      </c>
      <c r="G2880" s="9">
        <v>266</v>
      </c>
      <c r="H2880" s="5" t="s">
        <v>21</v>
      </c>
      <c r="I2880" s="5" t="s">
        <v>7264</v>
      </c>
      <c r="J2880" s="12" t="str">
        <f>HYPERLINK("https://www.boe.es/gazeta/dias/1803/03/29/pdfs/GMD-1803-25.pdf#page=6","Abrir facsímil")</f>
        <v>Abrir facsímil</v>
      </c>
      <c r="K2880" s="15" t="s">
        <v>23</v>
      </c>
    </row>
    <row r="2881" spans="1:11" ht="42" customHeight="1">
      <c r="A2881" s="4" t="s">
        <v>7265</v>
      </c>
      <c r="B2881" s="5" t="s">
        <v>7265</v>
      </c>
      <c r="C2881" s="5" t="s">
        <v>18</v>
      </c>
      <c r="D2881" s="5" t="s">
        <v>19</v>
      </c>
      <c r="E2881" s="5" t="s">
        <v>109</v>
      </c>
      <c r="F2881" s="9">
        <v>102</v>
      </c>
      <c r="G2881" s="9">
        <v>1097</v>
      </c>
      <c r="H2881" s="5" t="s">
        <v>21</v>
      </c>
      <c r="I2881" s="5" t="s">
        <v>7266</v>
      </c>
      <c r="J2881" s="12" t="str">
        <f>HYPERLINK("https://www.boe.es/gazeta/dias/1803/12/20/pdfs/GMD-1803-102.pdf#page=9","Abrir facsímil")</f>
        <v>Abrir facsímil</v>
      </c>
      <c r="K2881" s="15" t="s">
        <v>23</v>
      </c>
    </row>
    <row r="2882" spans="1:11" ht="42" customHeight="1">
      <c r="A2882" s="4" t="s">
        <v>7267</v>
      </c>
      <c r="B2882" s="5" t="s">
        <v>7268</v>
      </c>
      <c r="C2882" s="5" t="s">
        <v>40</v>
      </c>
      <c r="D2882" s="5" t="s">
        <v>41</v>
      </c>
      <c r="E2882" s="5" t="s">
        <v>439</v>
      </c>
      <c r="F2882" s="9">
        <v>76</v>
      </c>
      <c r="G2882" s="9">
        <v>820</v>
      </c>
      <c r="H2882" s="5" t="s">
        <v>21</v>
      </c>
      <c r="I2882" s="5" t="s">
        <v>7269</v>
      </c>
      <c r="J2882" s="12" t="str">
        <f>HYPERLINK("https://www.boe.es/gazeta/dias/1803/09/20/pdfs/GMD-1803-76.pdf#page=8","Abrir facsímil")</f>
        <v>Abrir facsímil</v>
      </c>
      <c r="K2882" s="15" t="s">
        <v>23</v>
      </c>
    </row>
    <row r="2883" spans="1:11" ht="42" customHeight="1">
      <c r="A2883" s="4" t="s">
        <v>7267</v>
      </c>
      <c r="B2883" s="5" t="s">
        <v>7268</v>
      </c>
      <c r="C2883" s="5" t="s">
        <v>40</v>
      </c>
      <c r="D2883" s="5" t="s">
        <v>41</v>
      </c>
      <c r="E2883" s="5" t="s">
        <v>630</v>
      </c>
      <c r="F2883" s="9">
        <v>85</v>
      </c>
      <c r="G2883" s="9">
        <v>914</v>
      </c>
      <c r="H2883" s="5" t="s">
        <v>21</v>
      </c>
      <c r="I2883" s="5" t="s">
        <v>7270</v>
      </c>
      <c r="J2883" s="12" t="str">
        <f>HYPERLINK("https://www.boe.es/gazeta/dias/1803/10/21/pdfs/GMD-1803-85.pdf#page=6","Abrir facsímil")</f>
        <v>Abrir facsímil</v>
      </c>
      <c r="K2883" s="15" t="s">
        <v>23</v>
      </c>
    </row>
    <row r="2884" spans="1:11" ht="42" customHeight="1">
      <c r="A2884" s="4" t="s">
        <v>7267</v>
      </c>
      <c r="B2884" s="5" t="s">
        <v>7268</v>
      </c>
      <c r="C2884" s="5" t="s">
        <v>80</v>
      </c>
      <c r="D2884" s="5" t="s">
        <v>81</v>
      </c>
      <c r="E2884" s="5" t="s">
        <v>784</v>
      </c>
      <c r="F2884" s="9">
        <v>86</v>
      </c>
      <c r="G2884" s="9">
        <v>928</v>
      </c>
      <c r="H2884" s="5" t="s">
        <v>21</v>
      </c>
      <c r="I2884" s="5" t="s">
        <v>7271</v>
      </c>
      <c r="J2884" s="12" t="str">
        <f>HYPERLINK("https://www.boe.es/gazeta/dias/1803/10/25/pdfs/GMD-1803-86.pdf#page=8","Abrir facsímil")</f>
        <v>Abrir facsímil</v>
      </c>
      <c r="K2884" s="15" t="s">
        <v>23</v>
      </c>
    </row>
    <row r="2885" spans="1:11" ht="42" customHeight="1">
      <c r="A2885" s="4" t="s">
        <v>7272</v>
      </c>
      <c r="B2885" s="5" t="s">
        <v>7273</v>
      </c>
      <c r="C2885" s="5" t="s">
        <v>26</v>
      </c>
      <c r="D2885" s="5" t="s">
        <v>27</v>
      </c>
      <c r="E2885" s="5" t="s">
        <v>117</v>
      </c>
      <c r="F2885" s="9">
        <v>59</v>
      </c>
      <c r="G2885" s="9">
        <v>647</v>
      </c>
      <c r="H2885" s="5" t="s">
        <v>21</v>
      </c>
      <c r="I2885" s="5" t="s">
        <v>7274</v>
      </c>
      <c r="J2885" s="12" t="str">
        <f>HYPERLINK("https://www.boe.es/gazeta/dias/1803/07/26/pdfs/GMD-1803-59.pdf#page=7","Abrir facsímil")</f>
        <v>Abrir facsímil</v>
      </c>
      <c r="K2885" s="15" t="s">
        <v>23</v>
      </c>
    </row>
    <row r="2886" spans="1:11" ht="42" customHeight="1">
      <c r="A2886" s="4" t="s">
        <v>7275</v>
      </c>
      <c r="B2886" s="5" t="s">
        <v>7276</v>
      </c>
      <c r="C2886" s="5" t="s">
        <v>26</v>
      </c>
      <c r="D2886" s="5" t="s">
        <v>27</v>
      </c>
      <c r="E2886" s="5" t="s">
        <v>71</v>
      </c>
      <c r="F2886" s="9">
        <v>39</v>
      </c>
      <c r="G2886" s="9">
        <v>413</v>
      </c>
      <c r="H2886" s="5" t="s">
        <v>21</v>
      </c>
      <c r="I2886" s="5" t="s">
        <v>7277</v>
      </c>
      <c r="J2886" s="12" t="str">
        <f>HYPERLINK("https://www.boe.es/gazeta/dias/1803/05/17/pdfs/GMD-1803-39.pdf#page=9","Abrir facsímil")</f>
        <v>Abrir facsímil</v>
      </c>
      <c r="K2886" s="15" t="s">
        <v>23</v>
      </c>
    </row>
    <row r="2887" spans="1:11" ht="42" customHeight="1">
      <c r="A2887" s="4" t="s">
        <v>7278</v>
      </c>
      <c r="B2887" s="5" t="s">
        <v>7279</v>
      </c>
      <c r="C2887" s="5" t="s">
        <v>18</v>
      </c>
      <c r="D2887" s="5" t="s">
        <v>19</v>
      </c>
      <c r="E2887" s="5" t="s">
        <v>272</v>
      </c>
      <c r="F2887" s="9">
        <v>25</v>
      </c>
      <c r="G2887" s="9">
        <v>266</v>
      </c>
      <c r="H2887" s="5" t="s">
        <v>21</v>
      </c>
      <c r="I2887" s="5" t="s">
        <v>7280</v>
      </c>
      <c r="J2887" s="12" t="str">
        <f>HYPERLINK("https://www.boe.es/gazeta/dias/1803/03/29/pdfs/GMD-1803-25.pdf#page=6","Abrir facsímil")</f>
        <v>Abrir facsímil</v>
      </c>
      <c r="K2887" s="15" t="s">
        <v>23</v>
      </c>
    </row>
    <row r="2888" spans="1:11" ht="42" customHeight="1">
      <c r="A2888" s="4" t="s">
        <v>7281</v>
      </c>
      <c r="B2888" s="5" t="s">
        <v>7282</v>
      </c>
      <c r="C2888" s="5" t="s">
        <v>26</v>
      </c>
      <c r="D2888" s="5" t="s">
        <v>27</v>
      </c>
      <c r="E2888" s="5" t="s">
        <v>407</v>
      </c>
      <c r="F2888" s="9">
        <v>82</v>
      </c>
      <c r="G2888" s="9">
        <v>885</v>
      </c>
      <c r="H2888" s="5" t="s">
        <v>21</v>
      </c>
      <c r="I2888" s="5" t="s">
        <v>7283</v>
      </c>
      <c r="J2888" s="12" t="str">
        <f>HYPERLINK("https://www.boe.es/gazeta/dias/1803/10/11/pdfs/GMD-1803-82.pdf#page=9","Abrir facsímil")</f>
        <v>Abrir facsímil</v>
      </c>
      <c r="K2888" s="15" t="s">
        <v>23</v>
      </c>
    </row>
    <row r="2889" spans="1:11" ht="42" customHeight="1">
      <c r="A2889" s="4" t="s">
        <v>7284</v>
      </c>
      <c r="B2889" s="5" t="s">
        <v>7285</v>
      </c>
      <c r="C2889" s="5" t="s">
        <v>40</v>
      </c>
      <c r="D2889" s="5" t="s">
        <v>41</v>
      </c>
      <c r="E2889" s="5" t="s">
        <v>261</v>
      </c>
      <c r="F2889" s="9">
        <v>70</v>
      </c>
      <c r="G2889" s="9">
        <v>764</v>
      </c>
      <c r="H2889" s="5" t="s">
        <v>21</v>
      </c>
      <c r="I2889" s="5" t="s">
        <v>7286</v>
      </c>
      <c r="J2889" s="12" t="str">
        <f>HYPERLINK("https://www.boe.es/gazeta/dias/1803/09/02/pdfs/GMD-1803-70.pdf#page=4","Abrir facsímil")</f>
        <v>Abrir facsímil</v>
      </c>
      <c r="K2889" s="15" t="s">
        <v>23</v>
      </c>
    </row>
    <row r="2890" spans="1:11" ht="42" customHeight="1">
      <c r="A2890" s="4" t="s">
        <v>7287</v>
      </c>
      <c r="B2890" s="5" t="s">
        <v>7288</v>
      </c>
      <c r="C2890" s="5" t="s">
        <v>26</v>
      </c>
      <c r="D2890" s="5" t="s">
        <v>27</v>
      </c>
      <c r="E2890" s="5" t="s">
        <v>373</v>
      </c>
      <c r="F2890" s="9">
        <v>77</v>
      </c>
      <c r="G2890" s="9">
        <v>834</v>
      </c>
      <c r="H2890" s="5" t="s">
        <v>21</v>
      </c>
      <c r="I2890" s="5" t="s">
        <v>7289</v>
      </c>
      <c r="J2890" s="12" t="str">
        <f>HYPERLINK("https://www.boe.es/gazeta/dias/1803/09/23/pdfs/GMD-1803-77.pdf#page=10","Abrir facsímil")</f>
        <v>Abrir facsímil</v>
      </c>
      <c r="K2890" s="15" t="s">
        <v>23</v>
      </c>
    </row>
    <row r="2891" spans="1:11" ht="42" customHeight="1">
      <c r="A2891" s="4" t="s">
        <v>7290</v>
      </c>
      <c r="B2891" s="5" t="s">
        <v>7291</v>
      </c>
      <c r="C2891" s="5" t="s">
        <v>80</v>
      </c>
      <c r="D2891" s="5" t="s">
        <v>81</v>
      </c>
      <c r="E2891" s="5" t="s">
        <v>191</v>
      </c>
      <c r="F2891" s="9">
        <v>34</v>
      </c>
      <c r="G2891" s="9" t="s">
        <v>2271</v>
      </c>
      <c r="H2891" s="5" t="s">
        <v>21</v>
      </c>
      <c r="I2891" s="5" t="s">
        <v>7292</v>
      </c>
      <c r="J2891" s="12" t="str">
        <f>HYPERLINK("https://www.boe.es/gazeta/dias/1803/04/29/pdfs/GMD-C-1803-34.pdf#page=5","Abrir facsímil")</f>
        <v>Abrir facsímil</v>
      </c>
      <c r="K2891" s="15" t="s">
        <v>23</v>
      </c>
    </row>
    <row r="2892" spans="1:11" ht="42" customHeight="1">
      <c r="A2892" s="4" t="s">
        <v>7293</v>
      </c>
      <c r="B2892" s="5" t="s">
        <v>7294</v>
      </c>
      <c r="C2892" s="5" t="s">
        <v>40</v>
      </c>
      <c r="D2892" s="5" t="s">
        <v>41</v>
      </c>
      <c r="E2892" s="5" t="s">
        <v>113</v>
      </c>
      <c r="F2892" s="9">
        <v>93</v>
      </c>
      <c r="G2892" s="9">
        <v>994</v>
      </c>
      <c r="H2892" s="5" t="s">
        <v>21</v>
      </c>
      <c r="I2892" s="5" t="s">
        <v>7295</v>
      </c>
      <c r="J2892" s="12" t="str">
        <f>HYPERLINK("https://www.boe.es/gazeta/dias/1803/11/18/pdfs/GMD-1803-93.pdf#page=6","Abrir facsímil")</f>
        <v>Abrir facsímil</v>
      </c>
      <c r="K2892" s="15" t="s">
        <v>23</v>
      </c>
    </row>
    <row r="2893" spans="1:11" ht="42" customHeight="1">
      <c r="A2893" s="4" t="s">
        <v>7296</v>
      </c>
      <c r="B2893" s="5" t="s">
        <v>7297</v>
      </c>
      <c r="C2893" s="5" t="s">
        <v>26</v>
      </c>
      <c r="D2893" s="5" t="s">
        <v>27</v>
      </c>
      <c r="E2893" s="5" t="s">
        <v>77</v>
      </c>
      <c r="F2893" s="9">
        <v>64</v>
      </c>
      <c r="G2893" s="9">
        <v>699</v>
      </c>
      <c r="H2893" s="5" t="s">
        <v>21</v>
      </c>
      <c r="I2893" s="5" t="s">
        <v>7298</v>
      </c>
      <c r="J2893" s="12" t="str">
        <f>HYPERLINK("https://www.boe.es/gazeta/dias/1803/08/12/pdfs/GMD-1803-64.pdf#page=7","Abrir facsímil")</f>
        <v>Abrir facsímil</v>
      </c>
      <c r="K2893" s="15" t="s">
        <v>23</v>
      </c>
    </row>
    <row r="2894" spans="1:11" ht="42" customHeight="1">
      <c r="A2894" s="4" t="s">
        <v>7299</v>
      </c>
      <c r="B2894" s="5" t="s">
        <v>7300</v>
      </c>
      <c r="C2894" s="5" t="s">
        <v>46</v>
      </c>
      <c r="D2894" s="5" t="s">
        <v>19</v>
      </c>
      <c r="E2894" s="5" t="s">
        <v>630</v>
      </c>
      <c r="F2894" s="9">
        <v>85</v>
      </c>
      <c r="G2894" s="9">
        <v>917</v>
      </c>
      <c r="H2894" s="5" t="s">
        <v>21</v>
      </c>
      <c r="I2894" s="5" t="s">
        <v>7301</v>
      </c>
      <c r="J2894" s="12" t="str">
        <f>HYPERLINK("https://www.boe.es/gazeta/dias/1803/10/21/pdfs/GMD-1803-85.pdf#page=9","Abrir facsímil")</f>
        <v>Abrir facsímil</v>
      </c>
      <c r="K2894" s="15" t="s">
        <v>23</v>
      </c>
    </row>
    <row r="2895" spans="1:11" ht="42" customHeight="1">
      <c r="A2895" s="4" t="s">
        <v>7302</v>
      </c>
      <c r="B2895" s="5" t="s">
        <v>7302</v>
      </c>
      <c r="C2895" s="5" t="s">
        <v>40</v>
      </c>
      <c r="D2895" s="5" t="s">
        <v>41</v>
      </c>
      <c r="E2895" s="5" t="s">
        <v>784</v>
      </c>
      <c r="F2895" s="9">
        <v>86</v>
      </c>
      <c r="G2895" s="9">
        <v>929</v>
      </c>
      <c r="H2895" s="5" t="s">
        <v>21</v>
      </c>
      <c r="I2895" s="5" t="s">
        <v>7303</v>
      </c>
      <c r="J2895" s="12" t="str">
        <f>HYPERLINK("https://www.boe.es/gazeta/dias/1803/10/25/pdfs/GMD-1803-86.pdf#page=9","Abrir facsímil")</f>
        <v>Abrir facsímil</v>
      </c>
      <c r="K2895" s="15" t="s">
        <v>23</v>
      </c>
    </row>
    <row r="2896" spans="1:11" ht="42" customHeight="1">
      <c r="A2896" s="4" t="s">
        <v>7304</v>
      </c>
      <c r="B2896" s="5" t="s">
        <v>7305</v>
      </c>
      <c r="C2896" s="5" t="s">
        <v>18</v>
      </c>
      <c r="D2896" s="5" t="s">
        <v>19</v>
      </c>
      <c r="E2896" s="5" t="s">
        <v>606</v>
      </c>
      <c r="F2896" s="9">
        <v>47</v>
      </c>
      <c r="G2896" s="9">
        <v>498</v>
      </c>
      <c r="H2896" s="5" t="s">
        <v>21</v>
      </c>
      <c r="I2896" s="5" t="s">
        <v>7306</v>
      </c>
      <c r="J2896" s="12" t="str">
        <f>HYPERLINK("https://www.boe.es/gazeta/dias/1803/06/14/pdfs/GMD-1803-47.pdf#page=10","Abrir facsímil")</f>
        <v>Abrir facsímil</v>
      </c>
      <c r="K2896" s="15" t="s">
        <v>23</v>
      </c>
    </row>
    <row r="2897" spans="1:11" ht="42" customHeight="1">
      <c r="A2897" s="4" t="s">
        <v>7304</v>
      </c>
      <c r="B2897" s="5" t="s">
        <v>7305</v>
      </c>
      <c r="C2897" s="5" t="s">
        <v>40</v>
      </c>
      <c r="D2897" s="5" t="s">
        <v>41</v>
      </c>
      <c r="E2897" s="5" t="s">
        <v>75</v>
      </c>
      <c r="F2897" s="9">
        <v>56</v>
      </c>
      <c r="G2897" s="9">
        <v>611</v>
      </c>
      <c r="H2897" s="5" t="s">
        <v>21</v>
      </c>
      <c r="I2897" s="5" t="s">
        <v>7307</v>
      </c>
      <c r="J2897" s="12" t="str">
        <f>HYPERLINK("https://www.boe.es/gazeta/dias/1803/07/15/pdfs/GMD-1803-56.pdf#page=7","Abrir facsímil")</f>
        <v>Abrir facsímil</v>
      </c>
      <c r="K2897" s="15" t="s">
        <v>23</v>
      </c>
    </row>
    <row r="2898" spans="1:11" ht="42" customHeight="1">
      <c r="A2898" s="4" t="s">
        <v>7308</v>
      </c>
      <c r="B2898" s="5" t="s">
        <v>7309</v>
      </c>
      <c r="C2898" s="5" t="s">
        <v>51</v>
      </c>
      <c r="D2898" s="5" t="s">
        <v>52</v>
      </c>
      <c r="E2898" s="5" t="s">
        <v>189</v>
      </c>
      <c r="F2898" s="9">
        <v>9</v>
      </c>
      <c r="G2898" s="9">
        <v>92</v>
      </c>
      <c r="H2898" s="5" t="s">
        <v>21</v>
      </c>
      <c r="I2898" s="5" t="s">
        <v>7310</v>
      </c>
      <c r="J2898" s="12" t="str">
        <f>HYPERLINK("https://www.boe.es/gazeta/dias/1803/02/01/pdfs/GMD-1803-9.pdf#page=8","Abrir facsímil")</f>
        <v>Abrir facsímil</v>
      </c>
      <c r="K2898" s="15" t="s">
        <v>23</v>
      </c>
    </row>
    <row r="2899" spans="1:11" ht="42" customHeight="1">
      <c r="A2899" s="4" t="s">
        <v>7311</v>
      </c>
      <c r="B2899" s="5" t="s">
        <v>7312</v>
      </c>
      <c r="C2899" s="5" t="s">
        <v>26</v>
      </c>
      <c r="D2899" s="5" t="s">
        <v>27</v>
      </c>
      <c r="E2899" s="5" t="s">
        <v>496</v>
      </c>
      <c r="F2899" s="9">
        <v>90</v>
      </c>
      <c r="G2899" s="9">
        <v>966</v>
      </c>
      <c r="H2899" s="5" t="s">
        <v>21</v>
      </c>
      <c r="I2899" s="5" t="s">
        <v>7313</v>
      </c>
      <c r="J2899" s="12" t="str">
        <f>HYPERLINK("https://www.boe.es/gazeta/dias/1803/11/08/pdfs/GMD-1803-90.pdf#page=6","Abrir facsímil")</f>
        <v>Abrir facsímil</v>
      </c>
      <c r="K2899" s="15" t="s">
        <v>23</v>
      </c>
    </row>
    <row r="2900" spans="1:11" ht="42" customHeight="1">
      <c r="A2900" s="4" t="s">
        <v>7314</v>
      </c>
      <c r="B2900" s="5" t="s">
        <v>7315</v>
      </c>
      <c r="C2900" s="5" t="s">
        <v>51</v>
      </c>
      <c r="D2900" s="5" t="s">
        <v>52</v>
      </c>
      <c r="E2900" s="5" t="s">
        <v>309</v>
      </c>
      <c r="F2900" s="9">
        <v>37</v>
      </c>
      <c r="G2900" s="9">
        <v>381</v>
      </c>
      <c r="H2900" s="5" t="s">
        <v>21</v>
      </c>
      <c r="I2900" s="5" t="s">
        <v>7316</v>
      </c>
      <c r="J2900" s="12" t="str">
        <f>HYPERLINK("https://www.boe.es/gazeta/dias/1803/05/10/pdfs/GMD-1803-37.pdf#page=5","Abrir facsímil")</f>
        <v>Abrir facsímil</v>
      </c>
      <c r="K2900" s="15" t="s">
        <v>23</v>
      </c>
    </row>
    <row r="2901" spans="1:11" ht="42" customHeight="1">
      <c r="A2901" s="4" t="s">
        <v>7317</v>
      </c>
      <c r="B2901" s="5" t="s">
        <v>7317</v>
      </c>
      <c r="C2901" s="5" t="s">
        <v>40</v>
      </c>
      <c r="D2901" s="5" t="s">
        <v>41</v>
      </c>
      <c r="E2901" s="5" t="s">
        <v>293</v>
      </c>
      <c r="F2901" s="9">
        <v>45</v>
      </c>
      <c r="G2901" s="9">
        <v>467</v>
      </c>
      <c r="H2901" s="5" t="s">
        <v>21</v>
      </c>
      <c r="I2901" s="5" t="s">
        <v>7318</v>
      </c>
      <c r="J2901" s="12" t="str">
        <f>HYPERLINK("https://www.boe.es/gazeta/dias/1803/06/07/pdfs/GMD-1803-45.pdf#page=3","Abrir facsímil")</f>
        <v>Abrir facsímil</v>
      </c>
      <c r="K2901" s="15" t="s">
        <v>23</v>
      </c>
    </row>
    <row r="2902" spans="1:11" ht="42" customHeight="1">
      <c r="A2902" s="4" t="s">
        <v>7319</v>
      </c>
      <c r="B2902" s="5" t="s">
        <v>7320</v>
      </c>
      <c r="C2902" s="5" t="s">
        <v>46</v>
      </c>
      <c r="D2902" s="5" t="s">
        <v>19</v>
      </c>
      <c r="E2902" s="5" t="s">
        <v>85</v>
      </c>
      <c r="F2902" s="9">
        <v>49</v>
      </c>
      <c r="G2902" s="9">
        <v>523</v>
      </c>
      <c r="H2902" s="5" t="s">
        <v>21</v>
      </c>
      <c r="I2902" s="5" t="s">
        <v>7321</v>
      </c>
      <c r="J2902" s="12" t="str">
        <f>HYPERLINK("https://www.boe.es/gazeta/dias/1803/06/21/pdfs/GMD-1803-49.pdf#page=11","Abrir facsímil")</f>
        <v>Abrir facsímil</v>
      </c>
      <c r="K2902" s="15" t="s">
        <v>23</v>
      </c>
    </row>
    <row r="2903" spans="1:11" ht="42" customHeight="1">
      <c r="A2903" s="4" t="s">
        <v>7319</v>
      </c>
      <c r="B2903" s="5" t="s">
        <v>7320</v>
      </c>
      <c r="C2903" s="5" t="s">
        <v>18</v>
      </c>
      <c r="D2903" s="5" t="s">
        <v>19</v>
      </c>
      <c r="E2903" s="5" t="s">
        <v>361</v>
      </c>
      <c r="F2903" s="9">
        <v>62</v>
      </c>
      <c r="G2903" s="9">
        <v>679</v>
      </c>
      <c r="H2903" s="5" t="s">
        <v>21</v>
      </c>
      <c r="I2903" s="5" t="s">
        <v>7322</v>
      </c>
      <c r="J2903" s="12" t="str">
        <f>HYPERLINK("https://www.boe.es/gazeta/dias/1803/08/05/pdfs/GMD-1803-62.pdf#page=11","Abrir facsímil")</f>
        <v>Abrir facsímil</v>
      </c>
      <c r="K2903" s="15" t="s">
        <v>23</v>
      </c>
    </row>
    <row r="2904" spans="1:11" ht="42" customHeight="1">
      <c r="A2904" s="4" t="s">
        <v>7323</v>
      </c>
      <c r="B2904" s="5" t="s">
        <v>7324</v>
      </c>
      <c r="C2904" s="5" t="s">
        <v>51</v>
      </c>
      <c r="D2904" s="5" t="s">
        <v>52</v>
      </c>
      <c r="E2904" s="5" t="s">
        <v>174</v>
      </c>
      <c r="F2904" s="9">
        <v>21</v>
      </c>
      <c r="G2904" s="9">
        <v>228</v>
      </c>
      <c r="H2904" s="5" t="s">
        <v>21</v>
      </c>
      <c r="I2904" s="5" t="s">
        <v>7325</v>
      </c>
      <c r="J2904" s="12" t="str">
        <f>HYPERLINK("https://www.boe.es/gazeta/dias/1803/03/15/pdfs/GMD-1803-21.pdf#page=12","Abrir facsímil")</f>
        <v>Abrir facsímil</v>
      </c>
      <c r="K2904" s="15" t="s">
        <v>23</v>
      </c>
    </row>
    <row r="2905" spans="1:11" ht="42" customHeight="1">
      <c r="A2905" s="4" t="s">
        <v>7326</v>
      </c>
      <c r="B2905" s="5" t="s">
        <v>7326</v>
      </c>
      <c r="C2905" s="5" t="s">
        <v>46</v>
      </c>
      <c r="D2905" s="5" t="s">
        <v>19</v>
      </c>
      <c r="E2905" s="5" t="s">
        <v>77</v>
      </c>
      <c r="F2905" s="9">
        <v>64</v>
      </c>
      <c r="G2905" s="9">
        <v>699</v>
      </c>
      <c r="H2905" s="5" t="s">
        <v>21</v>
      </c>
      <c r="I2905" s="5" t="s">
        <v>7327</v>
      </c>
      <c r="J2905" s="12" t="str">
        <f>HYPERLINK("https://www.boe.es/gazeta/dias/1803/08/12/pdfs/GMD-1803-64.pdf#page=7","Abrir facsímil")</f>
        <v>Abrir facsímil</v>
      </c>
      <c r="K2905" s="15" t="s">
        <v>23</v>
      </c>
    </row>
    <row r="2906" spans="1:11" ht="42" customHeight="1">
      <c r="A2906" s="4" t="s">
        <v>7326</v>
      </c>
      <c r="B2906" s="5" t="s">
        <v>7326</v>
      </c>
      <c r="C2906" s="5" t="s">
        <v>80</v>
      </c>
      <c r="D2906" s="5" t="s">
        <v>81</v>
      </c>
      <c r="E2906" s="5" t="s">
        <v>407</v>
      </c>
      <c r="F2906" s="9">
        <v>82</v>
      </c>
      <c r="G2906" s="9">
        <v>887</v>
      </c>
      <c r="H2906" s="5" t="s">
        <v>21</v>
      </c>
      <c r="I2906" s="5" t="s">
        <v>7328</v>
      </c>
      <c r="J2906" s="12" t="str">
        <f>HYPERLINK("https://www.boe.es/gazeta/dias/1803/10/11/pdfs/GMD-1803-82.pdf#page=11","Abrir facsímil")</f>
        <v>Abrir facsímil</v>
      </c>
      <c r="K2906" s="15" t="s">
        <v>23</v>
      </c>
    </row>
    <row r="2907" spans="1:11" ht="42" customHeight="1">
      <c r="A2907" s="4" t="s">
        <v>7329</v>
      </c>
      <c r="B2907" s="5" t="s">
        <v>7329</v>
      </c>
      <c r="C2907" s="5" t="s">
        <v>26</v>
      </c>
      <c r="D2907" s="5" t="s">
        <v>27</v>
      </c>
      <c r="E2907" s="5" t="s">
        <v>514</v>
      </c>
      <c r="F2907" s="9">
        <v>42</v>
      </c>
      <c r="G2907" s="9">
        <v>440</v>
      </c>
      <c r="H2907" s="5" t="s">
        <v>21</v>
      </c>
      <c r="I2907" s="5" t="s">
        <v>7330</v>
      </c>
      <c r="J2907" s="12" t="str">
        <f>HYPERLINK("https://www.boe.es/gazeta/dias/1803/05/27/pdfs/GMD-1803-42.pdf#page=8","Abrir facsímil")</f>
        <v>Abrir facsímil</v>
      </c>
      <c r="K2907" s="15" t="s">
        <v>23</v>
      </c>
    </row>
    <row r="2908" spans="1:11" ht="42" customHeight="1">
      <c r="A2908" s="4" t="s">
        <v>7331</v>
      </c>
      <c r="B2908" s="5" t="s">
        <v>7331</v>
      </c>
      <c r="C2908" s="5" t="s">
        <v>26</v>
      </c>
      <c r="D2908" s="5" t="s">
        <v>27</v>
      </c>
      <c r="E2908" s="5" t="s">
        <v>328</v>
      </c>
      <c r="F2908" s="9">
        <v>54</v>
      </c>
      <c r="G2908" s="9">
        <v>590</v>
      </c>
      <c r="H2908" s="5" t="s">
        <v>21</v>
      </c>
      <c r="I2908" s="5" t="s">
        <v>7332</v>
      </c>
      <c r="J2908" s="12" t="str">
        <f>HYPERLINK("https://www.boe.es/gazeta/dias/1803/07/08/pdfs/GMD-1803-54.pdf#page=10","Abrir facsímil")</f>
        <v>Abrir facsímil</v>
      </c>
      <c r="K2908" s="15" t="s">
        <v>23</v>
      </c>
    </row>
    <row r="2909" spans="1:11" ht="42" customHeight="1">
      <c r="A2909" s="4" t="s">
        <v>7333</v>
      </c>
      <c r="B2909" s="5" t="s">
        <v>7333</v>
      </c>
      <c r="C2909" s="5" t="s">
        <v>26</v>
      </c>
      <c r="D2909" s="5" t="s">
        <v>27</v>
      </c>
      <c r="E2909" s="5" t="s">
        <v>189</v>
      </c>
      <c r="F2909" s="9">
        <v>9</v>
      </c>
      <c r="G2909" s="9">
        <v>95</v>
      </c>
      <c r="H2909" s="5" t="s">
        <v>21</v>
      </c>
      <c r="I2909" s="5" t="s">
        <v>7334</v>
      </c>
      <c r="J2909" s="12" t="str">
        <f>HYPERLINK("https://www.boe.es/gazeta/dias/1803/02/01/pdfs/GMD-1803-9.pdf#page=11","Abrir facsímil")</f>
        <v>Abrir facsímil</v>
      </c>
      <c r="K2909" s="15" t="s">
        <v>23</v>
      </c>
    </row>
    <row r="2910" spans="1:11" ht="42" customHeight="1">
      <c r="A2910" s="4" t="s">
        <v>7335</v>
      </c>
      <c r="B2910" s="5" t="s">
        <v>7335</v>
      </c>
      <c r="C2910" s="5" t="s">
        <v>51</v>
      </c>
      <c r="D2910" s="5" t="s">
        <v>52</v>
      </c>
      <c r="E2910" s="5" t="s">
        <v>203</v>
      </c>
      <c r="F2910" s="9">
        <v>32</v>
      </c>
      <c r="G2910" s="9">
        <v>337</v>
      </c>
      <c r="H2910" s="5" t="s">
        <v>21</v>
      </c>
      <c r="I2910" s="5" t="s">
        <v>7336</v>
      </c>
      <c r="J2910" s="12" t="str">
        <f>HYPERLINK("https://www.boe.es/gazeta/dias/1803/04/22/pdfs/GMD-1803-32.pdf#page=9","Abrir facsímil")</f>
        <v>Abrir facsímil</v>
      </c>
      <c r="K2910" s="15" t="s">
        <v>23</v>
      </c>
    </row>
    <row r="2911" spans="1:11" ht="42" customHeight="1">
      <c r="A2911" s="4" t="s">
        <v>7337</v>
      </c>
      <c r="B2911" s="5" t="s">
        <v>7337</v>
      </c>
      <c r="C2911" s="5" t="s">
        <v>80</v>
      </c>
      <c r="D2911" s="5" t="s">
        <v>81</v>
      </c>
      <c r="E2911" s="5" t="s">
        <v>203</v>
      </c>
      <c r="F2911" s="9">
        <v>32</v>
      </c>
      <c r="G2911" s="9">
        <v>338</v>
      </c>
      <c r="H2911" s="5" t="s">
        <v>21</v>
      </c>
      <c r="I2911" s="5" t="s">
        <v>7338</v>
      </c>
      <c r="J2911" s="12" t="str">
        <f>HYPERLINK("https://www.boe.es/gazeta/dias/1803/04/22/pdfs/GMD-1803-32.pdf#page=10","Abrir facsímil")</f>
        <v>Abrir facsímil</v>
      </c>
      <c r="K2911" s="15" t="s">
        <v>23</v>
      </c>
    </row>
    <row r="2912" spans="1:11" ht="42" customHeight="1">
      <c r="A2912" s="4" t="s">
        <v>7339</v>
      </c>
      <c r="B2912" s="5" t="s">
        <v>7340</v>
      </c>
      <c r="C2912" s="5" t="s">
        <v>26</v>
      </c>
      <c r="D2912" s="5" t="s">
        <v>27</v>
      </c>
      <c r="E2912" s="5" t="s">
        <v>148</v>
      </c>
      <c r="F2912" s="9">
        <v>15</v>
      </c>
      <c r="G2912" s="9">
        <v>158</v>
      </c>
      <c r="H2912" s="5" t="s">
        <v>21</v>
      </c>
      <c r="I2912" s="5" t="s">
        <v>7341</v>
      </c>
      <c r="J2912" s="12" t="str">
        <f>HYPERLINK("https://www.boe.es/gazeta/dias/1803/02/22/pdfs/GMD-1803-15.pdf#page=10","Abrir facsímil")</f>
        <v>Abrir facsímil</v>
      </c>
      <c r="K2912" s="15" t="s">
        <v>23</v>
      </c>
    </row>
    <row r="2913" spans="1:11" ht="42" customHeight="1">
      <c r="A2913" s="4" t="s">
        <v>7342</v>
      </c>
      <c r="B2913" s="5" t="s">
        <v>7342</v>
      </c>
      <c r="C2913" s="5" t="s">
        <v>80</v>
      </c>
      <c r="D2913" s="5" t="s">
        <v>81</v>
      </c>
      <c r="E2913" s="5" t="s">
        <v>361</v>
      </c>
      <c r="F2913" s="9">
        <v>62</v>
      </c>
      <c r="G2913" s="9">
        <v>674</v>
      </c>
      <c r="H2913" s="5" t="s">
        <v>21</v>
      </c>
      <c r="I2913" s="5" t="s">
        <v>7343</v>
      </c>
      <c r="J2913" s="12" t="str">
        <f>HYPERLINK("https://www.boe.es/gazeta/dias/1803/08/05/pdfs/GMD-1803-62.pdf#page=6","Abrir facsímil")</f>
        <v>Abrir facsímil</v>
      </c>
      <c r="K2913" s="15" t="s">
        <v>23</v>
      </c>
    </row>
    <row r="2914" spans="1:11" ht="42" customHeight="1">
      <c r="A2914" s="4" t="s">
        <v>7344</v>
      </c>
      <c r="B2914" s="5" t="s">
        <v>7345</v>
      </c>
      <c r="C2914" s="5" t="s">
        <v>26</v>
      </c>
      <c r="D2914" s="5" t="s">
        <v>27</v>
      </c>
      <c r="E2914" s="5" t="s">
        <v>882</v>
      </c>
      <c r="F2914" s="9">
        <v>60</v>
      </c>
      <c r="G2914" s="9">
        <v>657</v>
      </c>
      <c r="H2914" s="5" t="s">
        <v>21</v>
      </c>
      <c r="I2914" s="5" t="s">
        <v>7346</v>
      </c>
      <c r="J2914" s="12" t="str">
        <f>HYPERLINK("https://www.boe.es/gazeta/dias/1803/07/29/pdfs/GMD-1803-60.pdf#page=9","Abrir facsímil")</f>
        <v>Abrir facsímil</v>
      </c>
      <c r="K2914" s="15" t="s">
        <v>23</v>
      </c>
    </row>
    <row r="2915" spans="1:11" ht="42" customHeight="1">
      <c r="A2915" s="4" t="s">
        <v>7347</v>
      </c>
      <c r="B2915" s="5" t="s">
        <v>7347</v>
      </c>
      <c r="C2915" s="5" t="s">
        <v>26</v>
      </c>
      <c r="D2915" s="5" t="s">
        <v>27</v>
      </c>
      <c r="E2915" s="5" t="s">
        <v>373</v>
      </c>
      <c r="F2915" s="9">
        <v>77</v>
      </c>
      <c r="G2915" s="9">
        <v>833</v>
      </c>
      <c r="H2915" s="5" t="s">
        <v>21</v>
      </c>
      <c r="I2915" s="5" t="s">
        <v>7348</v>
      </c>
      <c r="J2915" s="12" t="str">
        <f>HYPERLINK("https://www.boe.es/gazeta/dias/1803/09/23/pdfs/GMD-1803-77.pdf#page=9","Abrir facsímil")</f>
        <v>Abrir facsímil</v>
      </c>
      <c r="K2915" s="15" t="s">
        <v>23</v>
      </c>
    </row>
    <row r="2916" spans="1:11" ht="42" customHeight="1">
      <c r="A2916" s="4" t="s">
        <v>7349</v>
      </c>
      <c r="B2916" s="5" t="s">
        <v>7349</v>
      </c>
      <c r="C2916" s="5" t="s">
        <v>26</v>
      </c>
      <c r="D2916" s="5" t="s">
        <v>27</v>
      </c>
      <c r="E2916" s="5" t="s">
        <v>57</v>
      </c>
      <c r="F2916" s="9">
        <v>51</v>
      </c>
      <c r="G2916" s="9">
        <v>553</v>
      </c>
      <c r="H2916" s="5" t="s">
        <v>21</v>
      </c>
      <c r="I2916" s="5" t="s">
        <v>7350</v>
      </c>
      <c r="J2916" s="12" t="str">
        <f>HYPERLINK("https://www.boe.es/gazeta/dias/1803/06/28/pdfs/GMD-1803-51.pdf#page=9","Abrir facsímil")</f>
        <v>Abrir facsímil</v>
      </c>
      <c r="K2916" s="15" t="s">
        <v>23</v>
      </c>
    </row>
    <row r="2917" spans="1:11" ht="42" customHeight="1">
      <c r="A2917" s="4" t="s">
        <v>7351</v>
      </c>
      <c r="B2917" s="5" t="s">
        <v>7351</v>
      </c>
      <c r="C2917" s="5" t="s">
        <v>26</v>
      </c>
      <c r="D2917" s="5" t="s">
        <v>27</v>
      </c>
      <c r="E2917" s="5" t="s">
        <v>657</v>
      </c>
      <c r="F2917" s="9">
        <v>24</v>
      </c>
      <c r="G2917" s="9">
        <v>256</v>
      </c>
      <c r="H2917" s="5" t="s">
        <v>21</v>
      </c>
      <c r="I2917" s="5" t="s">
        <v>7352</v>
      </c>
      <c r="J2917" s="12" t="str">
        <f>HYPERLINK("https://www.boe.es/gazeta/dias/1803/03/25/pdfs/GMD-1803-24.pdf#page=8","Abrir facsímil")</f>
        <v>Abrir facsímil</v>
      </c>
      <c r="K2917" s="15" t="s">
        <v>23</v>
      </c>
    </row>
    <row r="2918" spans="1:11" ht="42" customHeight="1">
      <c r="A2918" s="4" t="s">
        <v>7353</v>
      </c>
      <c r="B2918" s="5" t="s">
        <v>7354</v>
      </c>
      <c r="C2918" s="5" t="s">
        <v>26</v>
      </c>
      <c r="D2918" s="5" t="s">
        <v>27</v>
      </c>
      <c r="E2918" s="5" t="s">
        <v>218</v>
      </c>
      <c r="F2918" s="9">
        <v>19</v>
      </c>
      <c r="G2918" s="9">
        <v>201</v>
      </c>
      <c r="H2918" s="5" t="s">
        <v>21</v>
      </c>
      <c r="I2918" s="5" t="s">
        <v>7355</v>
      </c>
      <c r="J2918" s="12" t="str">
        <f>HYPERLINK("https://www.boe.es/gazeta/dias/1803/03/08/pdfs/GMD-1803-19.pdf#page=9","Abrir facsímil")</f>
        <v>Abrir facsímil</v>
      </c>
      <c r="K2918" s="15" t="s">
        <v>23</v>
      </c>
    </row>
    <row r="2919" spans="1:11" ht="42" customHeight="1">
      <c r="A2919" s="4" t="s">
        <v>7356</v>
      </c>
      <c r="B2919" s="5" t="s">
        <v>7357</v>
      </c>
      <c r="C2919" s="5" t="s">
        <v>26</v>
      </c>
      <c r="D2919" s="5" t="s">
        <v>27</v>
      </c>
      <c r="E2919" s="5" t="s">
        <v>361</v>
      </c>
      <c r="F2919" s="9">
        <v>62</v>
      </c>
      <c r="G2919" s="9">
        <v>675</v>
      </c>
      <c r="H2919" s="5" t="s">
        <v>21</v>
      </c>
      <c r="I2919" s="5" t="s">
        <v>7358</v>
      </c>
      <c r="J2919" s="12" t="str">
        <f>HYPERLINK("https://www.boe.es/gazeta/dias/1803/08/05/pdfs/GMD-1803-62.pdf#page=7","Abrir facsímil")</f>
        <v>Abrir facsímil</v>
      </c>
      <c r="K2919" s="15" t="s">
        <v>23</v>
      </c>
    </row>
    <row r="2920" spans="1:11" ht="42" customHeight="1">
      <c r="A2920" s="4" t="s">
        <v>7359</v>
      </c>
      <c r="B2920" s="5" t="s">
        <v>7360</v>
      </c>
      <c r="C2920" s="5" t="s">
        <v>26</v>
      </c>
      <c r="D2920" s="5" t="s">
        <v>27</v>
      </c>
      <c r="E2920" s="5" t="s">
        <v>752</v>
      </c>
      <c r="F2920" s="9">
        <v>30</v>
      </c>
      <c r="G2920" s="9">
        <v>320</v>
      </c>
      <c r="H2920" s="5" t="s">
        <v>21</v>
      </c>
      <c r="I2920" s="5" t="s">
        <v>7361</v>
      </c>
      <c r="J2920" s="12" t="str">
        <f>HYPERLINK("https://www.boe.es/gazeta/dias/1803/04/15/pdfs/GMD-1803-30.pdf#page=8","Abrir facsímil")</f>
        <v>Abrir facsímil</v>
      </c>
      <c r="K2920" s="15" t="s">
        <v>23</v>
      </c>
    </row>
    <row r="2921" spans="1:11" ht="42" customHeight="1">
      <c r="A2921" s="4" t="s">
        <v>7362</v>
      </c>
      <c r="B2921" s="5" t="s">
        <v>7362</v>
      </c>
      <c r="C2921" s="5" t="s">
        <v>26</v>
      </c>
      <c r="D2921" s="5" t="s">
        <v>27</v>
      </c>
      <c r="E2921" s="5" t="s">
        <v>117</v>
      </c>
      <c r="F2921" s="9">
        <v>59</v>
      </c>
      <c r="G2921" s="9">
        <v>647</v>
      </c>
      <c r="H2921" s="5" t="s">
        <v>21</v>
      </c>
      <c r="I2921" s="5" t="s">
        <v>7363</v>
      </c>
      <c r="J2921" s="12" t="str">
        <f>HYPERLINK("https://www.boe.es/gazeta/dias/1803/07/26/pdfs/GMD-1803-59.pdf#page=7","Abrir facsímil")</f>
        <v>Abrir facsímil</v>
      </c>
      <c r="K2921" s="15" t="s">
        <v>23</v>
      </c>
    </row>
    <row r="2922" spans="1:11" ht="42" customHeight="1">
      <c r="A2922" s="4" t="s">
        <v>7364</v>
      </c>
      <c r="B2922" s="5" t="s">
        <v>7365</v>
      </c>
      <c r="C2922" s="5" t="s">
        <v>18</v>
      </c>
      <c r="D2922" s="5" t="s">
        <v>19</v>
      </c>
      <c r="E2922" s="5" t="s">
        <v>630</v>
      </c>
      <c r="F2922" s="9">
        <v>85</v>
      </c>
      <c r="G2922" s="9">
        <v>919</v>
      </c>
      <c r="H2922" s="5" t="s">
        <v>21</v>
      </c>
      <c r="I2922" s="5" t="s">
        <v>7366</v>
      </c>
      <c r="J2922" s="12" t="str">
        <f>HYPERLINK("https://www.boe.es/gazeta/dias/1803/10/21/pdfs/GMD-1803-85.pdf#page=11","Abrir facsímil")</f>
        <v>Abrir facsímil</v>
      </c>
      <c r="K2922" s="15" t="s">
        <v>23</v>
      </c>
    </row>
    <row r="2923" spans="1:11" ht="42" customHeight="1">
      <c r="A2923" s="4" t="s">
        <v>7367</v>
      </c>
      <c r="B2923" s="5" t="s">
        <v>7368</v>
      </c>
      <c r="C2923" s="5" t="s">
        <v>26</v>
      </c>
      <c r="D2923" s="5" t="s">
        <v>27</v>
      </c>
      <c r="E2923" s="5" t="s">
        <v>289</v>
      </c>
      <c r="F2923" s="9">
        <v>38</v>
      </c>
      <c r="G2923" s="9">
        <v>401</v>
      </c>
      <c r="H2923" s="5" t="s">
        <v>21</v>
      </c>
      <c r="I2923" s="5" t="s">
        <v>7369</v>
      </c>
      <c r="J2923" s="12" t="str">
        <f>HYPERLINK("https://www.boe.es/gazeta/dias/1803/05/13/pdfs/GMD-1803-38.pdf#page=9","Abrir facsímil")</f>
        <v>Abrir facsímil</v>
      </c>
      <c r="K2923" s="15" t="s">
        <v>23</v>
      </c>
    </row>
    <row r="2924" spans="1:11" ht="42" customHeight="1">
      <c r="A2924" s="4" t="s">
        <v>7370</v>
      </c>
      <c r="B2924" s="5" t="s">
        <v>7371</v>
      </c>
      <c r="C2924" s="5" t="s">
        <v>80</v>
      </c>
      <c r="D2924" s="5" t="s">
        <v>81</v>
      </c>
      <c r="E2924" s="5" t="s">
        <v>231</v>
      </c>
      <c r="F2924" s="9">
        <v>26</v>
      </c>
      <c r="G2924" s="9">
        <v>283</v>
      </c>
      <c r="H2924" s="5" t="s">
        <v>21</v>
      </c>
      <c r="I2924" s="5" t="s">
        <v>7372</v>
      </c>
      <c r="J2924" s="12" t="str">
        <f>HYPERLINK("https://www.boe.es/gazeta/dias/1803/04/01/pdfs/GMD-1803-26.pdf#page=11","Abrir facsímil")</f>
        <v>Abrir facsímil</v>
      </c>
      <c r="K2924" s="15" t="s">
        <v>23</v>
      </c>
    </row>
    <row r="2925" spans="1:11" ht="42" customHeight="1">
      <c r="A2925" s="4" t="s">
        <v>7373</v>
      </c>
      <c r="B2925" s="5" t="s">
        <v>7373</v>
      </c>
      <c r="C2925" s="5" t="s">
        <v>26</v>
      </c>
      <c r="D2925" s="5" t="s">
        <v>27</v>
      </c>
      <c r="E2925" s="5" t="s">
        <v>336</v>
      </c>
      <c r="F2925" s="9">
        <v>105</v>
      </c>
      <c r="G2925" s="9">
        <v>1122</v>
      </c>
      <c r="H2925" s="5" t="s">
        <v>21</v>
      </c>
      <c r="I2925" s="5" t="s">
        <v>7374</v>
      </c>
      <c r="J2925" s="12" t="str">
        <f>HYPERLINK("https://www.boe.es/gazeta/dias/1803/12/30/pdfs/GMD-1803-105.pdf#page=6","Abrir facsímil")</f>
        <v>Abrir facsímil</v>
      </c>
      <c r="K2925" s="15" t="s">
        <v>23</v>
      </c>
    </row>
    <row r="2926" spans="1:11" ht="42" customHeight="1">
      <c r="A2926" s="4" t="s">
        <v>7375</v>
      </c>
      <c r="B2926" s="5" t="s">
        <v>7375</v>
      </c>
      <c r="C2926" s="5" t="s">
        <v>40</v>
      </c>
      <c r="D2926" s="5" t="s">
        <v>41</v>
      </c>
      <c r="E2926" s="5" t="s">
        <v>164</v>
      </c>
      <c r="F2926" s="9">
        <v>84</v>
      </c>
      <c r="G2926" s="9">
        <v>902</v>
      </c>
      <c r="H2926" s="5" t="s">
        <v>21</v>
      </c>
      <c r="I2926" s="5" t="s">
        <v>7376</v>
      </c>
      <c r="J2926" s="12" t="str">
        <f>HYPERLINK("https://www.boe.es/gazeta/dias/1803/10/18/pdfs/GMD-1803-84.pdf#page=6","Abrir facsímil")</f>
        <v>Abrir facsímil</v>
      </c>
      <c r="K2926" s="15" t="s">
        <v>23</v>
      </c>
    </row>
    <row r="2927" spans="1:11" ht="42" customHeight="1">
      <c r="A2927" s="4" t="s">
        <v>7377</v>
      </c>
      <c r="B2927" s="5" t="s">
        <v>7378</v>
      </c>
      <c r="C2927" s="5" t="s">
        <v>26</v>
      </c>
      <c r="D2927" s="5" t="s">
        <v>27</v>
      </c>
      <c r="E2927" s="5" t="s">
        <v>289</v>
      </c>
      <c r="F2927" s="9">
        <v>38</v>
      </c>
      <c r="G2927" s="9">
        <v>400</v>
      </c>
      <c r="H2927" s="5" t="s">
        <v>21</v>
      </c>
      <c r="I2927" s="5" t="s">
        <v>7379</v>
      </c>
      <c r="J2927" s="12" t="str">
        <f>HYPERLINK("https://www.boe.es/gazeta/dias/1803/05/13/pdfs/GMD-1803-38.pdf#page=8","Abrir facsímil")</f>
        <v>Abrir facsímil</v>
      </c>
      <c r="K2927" s="15" t="s">
        <v>23</v>
      </c>
    </row>
    <row r="2928" spans="1:11" ht="42" customHeight="1">
      <c r="A2928" s="4" t="s">
        <v>7380</v>
      </c>
      <c r="B2928" s="5" t="s">
        <v>7380</v>
      </c>
      <c r="C2928" s="5" t="s">
        <v>80</v>
      </c>
      <c r="D2928" s="5" t="s">
        <v>81</v>
      </c>
      <c r="E2928" s="5" t="s">
        <v>113</v>
      </c>
      <c r="F2928" s="9">
        <v>93</v>
      </c>
      <c r="G2928" s="9">
        <v>998</v>
      </c>
      <c r="H2928" s="5" t="s">
        <v>21</v>
      </c>
      <c r="I2928" s="5" t="s">
        <v>7381</v>
      </c>
      <c r="J2928" s="12" t="str">
        <f>HYPERLINK("https://www.boe.es/gazeta/dias/1803/11/18/pdfs/GMD-1803-93.pdf#page=10","Abrir facsímil")</f>
        <v>Abrir facsímil</v>
      </c>
      <c r="K2928" s="15" t="s">
        <v>23</v>
      </c>
    </row>
    <row r="2929" spans="1:11" ht="42" customHeight="1">
      <c r="A2929" s="4" t="s">
        <v>7382</v>
      </c>
      <c r="B2929" s="5" t="s">
        <v>7382</v>
      </c>
      <c r="C2929" s="5" t="s">
        <v>51</v>
      </c>
      <c r="D2929" s="5" t="s">
        <v>52</v>
      </c>
      <c r="E2929" s="5" t="s">
        <v>36</v>
      </c>
      <c r="F2929" s="9">
        <v>79</v>
      </c>
      <c r="G2929" s="9">
        <v>855</v>
      </c>
      <c r="H2929" s="5" t="s">
        <v>21</v>
      </c>
      <c r="I2929" s="5" t="s">
        <v>7383</v>
      </c>
      <c r="J2929" s="12" t="str">
        <f>HYPERLINK("https://www.boe.es/gazeta/dias/1803/09/30/pdfs/GMD-1803-79.pdf#page=7","Abrir facsímil")</f>
        <v>Abrir facsímil</v>
      </c>
      <c r="K2929" s="15" t="s">
        <v>23</v>
      </c>
    </row>
    <row r="2930" spans="1:11" ht="42" customHeight="1">
      <c r="A2930" s="4" t="s">
        <v>7384</v>
      </c>
      <c r="B2930" s="5" t="s">
        <v>7384</v>
      </c>
      <c r="C2930" s="5" t="s">
        <v>26</v>
      </c>
      <c r="D2930" s="5" t="s">
        <v>27</v>
      </c>
      <c r="E2930" s="5" t="s">
        <v>148</v>
      </c>
      <c r="F2930" s="9">
        <v>15</v>
      </c>
      <c r="G2930" s="9">
        <v>158</v>
      </c>
      <c r="H2930" s="5" t="s">
        <v>21</v>
      </c>
      <c r="I2930" s="5" t="s">
        <v>7385</v>
      </c>
      <c r="J2930" s="12" t="str">
        <f>HYPERLINK("https://www.boe.es/gazeta/dias/1803/02/22/pdfs/GMD-1803-15.pdf#page=10","Abrir facsímil")</f>
        <v>Abrir facsímil</v>
      </c>
      <c r="K2930" s="15" t="s">
        <v>23</v>
      </c>
    </row>
    <row r="2931" spans="1:11" ht="42" customHeight="1">
      <c r="A2931" s="4" t="s">
        <v>7386</v>
      </c>
      <c r="B2931" s="5" t="s">
        <v>7386</v>
      </c>
      <c r="C2931" s="5" t="s">
        <v>26</v>
      </c>
      <c r="D2931" s="5" t="s">
        <v>27</v>
      </c>
      <c r="E2931" s="5" t="s">
        <v>113</v>
      </c>
      <c r="F2931" s="9">
        <v>93</v>
      </c>
      <c r="G2931" s="9">
        <v>995</v>
      </c>
      <c r="H2931" s="5" t="s">
        <v>21</v>
      </c>
      <c r="I2931" s="5" t="s">
        <v>7387</v>
      </c>
      <c r="J2931" s="12" t="str">
        <f>HYPERLINK("https://www.boe.es/gazeta/dias/1803/11/18/pdfs/GMD-1803-93.pdf#page=7","Abrir facsímil")</f>
        <v>Abrir facsímil</v>
      </c>
      <c r="K2931" s="15" t="s">
        <v>23</v>
      </c>
    </row>
    <row r="2932" spans="1:11" ht="42" customHeight="1">
      <c r="A2932" s="4" t="s">
        <v>7388</v>
      </c>
      <c r="B2932" s="5" t="s">
        <v>7388</v>
      </c>
      <c r="C2932" s="5" t="s">
        <v>26</v>
      </c>
      <c r="D2932" s="5" t="s">
        <v>27</v>
      </c>
      <c r="E2932" s="5" t="s">
        <v>303</v>
      </c>
      <c r="F2932" s="9">
        <v>8</v>
      </c>
      <c r="G2932" s="9">
        <v>79</v>
      </c>
      <c r="H2932" s="5" t="s">
        <v>21</v>
      </c>
      <c r="I2932" s="5" t="s">
        <v>7389</v>
      </c>
      <c r="J2932" s="12" t="str">
        <f>HYPERLINK("https://www.boe.es/gazeta/dias/1803/01/28/pdfs/GMD-1803-8.pdf#page=7","Abrir facsímil")</f>
        <v>Abrir facsímil</v>
      </c>
      <c r="K2932" s="15" t="s">
        <v>23</v>
      </c>
    </row>
    <row r="2933" spans="1:11" ht="42" customHeight="1">
      <c r="A2933" s="4" t="s">
        <v>7390</v>
      </c>
      <c r="B2933" s="5" t="s">
        <v>7390</v>
      </c>
      <c r="C2933" s="5" t="s">
        <v>51</v>
      </c>
      <c r="D2933" s="5" t="s">
        <v>52</v>
      </c>
      <c r="E2933" s="5" t="s">
        <v>514</v>
      </c>
      <c r="F2933" s="9">
        <v>42</v>
      </c>
      <c r="G2933" s="9">
        <v>439</v>
      </c>
      <c r="H2933" s="5" t="s">
        <v>21</v>
      </c>
      <c r="I2933" s="5" t="s">
        <v>7391</v>
      </c>
      <c r="J2933" s="12" t="str">
        <f>HYPERLINK("https://www.boe.es/gazeta/dias/1803/05/27/pdfs/GMD-1803-42.pdf#page=7","Abrir facsímil")</f>
        <v>Abrir facsímil</v>
      </c>
      <c r="K2933" s="15" t="s">
        <v>23</v>
      </c>
    </row>
    <row r="2934" spans="1:11" ht="42" customHeight="1">
      <c r="A2934" s="4" t="s">
        <v>7392</v>
      </c>
      <c r="B2934" s="5" t="s">
        <v>7392</v>
      </c>
      <c r="C2934" s="5" t="s">
        <v>26</v>
      </c>
      <c r="D2934" s="5" t="s">
        <v>27</v>
      </c>
      <c r="E2934" s="5" t="s">
        <v>496</v>
      </c>
      <c r="F2934" s="9">
        <v>90</v>
      </c>
      <c r="G2934" s="9">
        <v>966</v>
      </c>
      <c r="H2934" s="5" t="s">
        <v>21</v>
      </c>
      <c r="I2934" s="5" t="s">
        <v>7393</v>
      </c>
      <c r="J2934" s="12" t="str">
        <f>HYPERLINK("https://www.boe.es/gazeta/dias/1803/11/08/pdfs/GMD-1803-90.pdf#page=6","Abrir facsímil")</f>
        <v>Abrir facsímil</v>
      </c>
      <c r="K2934" s="15" t="s">
        <v>23</v>
      </c>
    </row>
    <row r="2935" spans="1:11" ht="42" customHeight="1">
      <c r="A2935" s="4" t="s">
        <v>7394</v>
      </c>
      <c r="B2935" s="5" t="s">
        <v>7394</v>
      </c>
      <c r="C2935" s="5" t="s">
        <v>26</v>
      </c>
      <c r="D2935" s="5" t="s">
        <v>27</v>
      </c>
      <c r="E2935" s="5" t="s">
        <v>132</v>
      </c>
      <c r="F2935" s="9">
        <v>58</v>
      </c>
      <c r="G2935" s="9">
        <v>639</v>
      </c>
      <c r="H2935" s="5" t="s">
        <v>21</v>
      </c>
      <c r="I2935" s="5" t="s">
        <v>7395</v>
      </c>
      <c r="J2935" s="12" t="str">
        <f>HYPERLINK("https://www.boe.es/gazeta/dias/1803/07/22/pdfs/GMD-1803-58.pdf#page=11","Abrir facsímil")</f>
        <v>Abrir facsímil</v>
      </c>
      <c r="K2935" s="15" t="s">
        <v>23</v>
      </c>
    </row>
    <row r="2936" spans="1:11" ht="42" customHeight="1">
      <c r="A2936" s="4" t="s">
        <v>7396</v>
      </c>
      <c r="B2936" s="5" t="s">
        <v>7397</v>
      </c>
      <c r="C2936" s="5" t="s">
        <v>18</v>
      </c>
      <c r="D2936" s="5" t="s">
        <v>19</v>
      </c>
      <c r="E2936" s="5" t="s">
        <v>160</v>
      </c>
      <c r="F2936" s="9">
        <v>81</v>
      </c>
      <c r="G2936" s="9">
        <v>871</v>
      </c>
      <c r="H2936" s="5" t="s">
        <v>21</v>
      </c>
      <c r="I2936" s="5" t="s">
        <v>7398</v>
      </c>
      <c r="J2936" s="12" t="str">
        <f>HYPERLINK("https://www.boe.es/gazeta/dias/1803/10/07/pdfs/GMD-1803-81.pdf#page=7","Abrir facsímil")</f>
        <v>Abrir facsímil</v>
      </c>
      <c r="K2936" s="15" t="s">
        <v>23</v>
      </c>
    </row>
    <row r="2937" spans="1:11" ht="42" customHeight="1">
      <c r="A2937" s="4" t="s">
        <v>7399</v>
      </c>
      <c r="B2937" s="5" t="s">
        <v>7399</v>
      </c>
      <c r="C2937" s="5" t="s">
        <v>40</v>
      </c>
      <c r="D2937" s="5" t="s">
        <v>41</v>
      </c>
      <c r="E2937" s="5" t="s">
        <v>132</v>
      </c>
      <c r="F2937" s="9">
        <v>58</v>
      </c>
      <c r="G2937" s="9">
        <v>639</v>
      </c>
      <c r="H2937" s="5" t="s">
        <v>21</v>
      </c>
      <c r="I2937" s="5" t="s">
        <v>7400</v>
      </c>
      <c r="J2937" s="12" t="str">
        <f>HYPERLINK("https://www.boe.es/gazeta/dias/1803/07/22/pdfs/GMD-1803-58.pdf#page=11","Abrir facsímil")</f>
        <v>Abrir facsímil</v>
      </c>
      <c r="K2937" s="15" t="s">
        <v>23</v>
      </c>
    </row>
    <row r="2938" spans="1:11" ht="42" customHeight="1">
      <c r="A2938" s="4" t="s">
        <v>7401</v>
      </c>
      <c r="B2938" s="5" t="s">
        <v>7402</v>
      </c>
      <c r="C2938" s="5" t="s">
        <v>18</v>
      </c>
      <c r="D2938" s="5" t="s">
        <v>19</v>
      </c>
      <c r="E2938" s="5" t="s">
        <v>83</v>
      </c>
      <c r="F2938" s="9">
        <v>28</v>
      </c>
      <c r="G2938" s="9">
        <v>304</v>
      </c>
      <c r="H2938" s="5" t="s">
        <v>21</v>
      </c>
      <c r="I2938" s="5" t="s">
        <v>7403</v>
      </c>
      <c r="J2938" s="12" t="str">
        <f>HYPERLINK("https://www.boe.es/gazeta/dias/1803/04/08/pdfs/GMD-1803-28.pdf#page=8","Abrir facsímil")</f>
        <v>Abrir facsímil</v>
      </c>
      <c r="K2938" s="15" t="s">
        <v>23</v>
      </c>
    </row>
    <row r="2939" spans="1:11" ht="42" customHeight="1">
      <c r="A2939" s="4" t="s">
        <v>7404</v>
      </c>
      <c r="B2939" s="5" t="s">
        <v>7404</v>
      </c>
      <c r="C2939" s="5" t="s">
        <v>51</v>
      </c>
      <c r="D2939" s="5" t="s">
        <v>52</v>
      </c>
      <c r="E2939" s="5" t="s">
        <v>189</v>
      </c>
      <c r="F2939" s="9">
        <v>9</v>
      </c>
      <c r="G2939" s="9">
        <v>93</v>
      </c>
      <c r="H2939" s="5" t="s">
        <v>21</v>
      </c>
      <c r="I2939" s="5" t="s">
        <v>7405</v>
      </c>
      <c r="J2939" s="12" t="str">
        <f>HYPERLINK("https://www.boe.es/gazeta/dias/1803/02/01/pdfs/GMD-1803-9.pdf#page=9","Abrir facsímil")</f>
        <v>Abrir facsímil</v>
      </c>
      <c r="K2939" s="15" t="s">
        <v>23</v>
      </c>
    </row>
    <row r="2940" spans="1:11" ht="42" customHeight="1">
      <c r="A2940" s="4" t="s">
        <v>7406</v>
      </c>
      <c r="B2940" s="5" t="s">
        <v>7406</v>
      </c>
      <c r="C2940" s="5" t="s">
        <v>26</v>
      </c>
      <c r="D2940" s="5" t="s">
        <v>27</v>
      </c>
      <c r="E2940" s="5" t="s">
        <v>795</v>
      </c>
      <c r="F2940" s="9">
        <v>98</v>
      </c>
      <c r="G2940" s="9">
        <v>1050</v>
      </c>
      <c r="H2940" s="5" t="s">
        <v>21</v>
      </c>
      <c r="I2940" s="5" t="s">
        <v>7407</v>
      </c>
      <c r="J2940" s="12" t="str">
        <f>HYPERLINK("https://www.boe.es/gazeta/dias/1803/12/06/pdfs/GMD-1803-98.pdf#page=6","Abrir facsímil")</f>
        <v>Abrir facsímil</v>
      </c>
      <c r="K2940" s="15" t="s">
        <v>23</v>
      </c>
    </row>
    <row r="2941" spans="1:11" ht="42" customHeight="1">
      <c r="A2941" s="4" t="s">
        <v>7408</v>
      </c>
      <c r="B2941" s="5" t="s">
        <v>7409</v>
      </c>
      <c r="C2941" s="5" t="s">
        <v>51</v>
      </c>
      <c r="D2941" s="5" t="s">
        <v>52</v>
      </c>
      <c r="E2941" s="5" t="s">
        <v>399</v>
      </c>
      <c r="F2941" s="9">
        <v>95</v>
      </c>
      <c r="G2941" s="9">
        <v>1018</v>
      </c>
      <c r="H2941" s="5" t="s">
        <v>21</v>
      </c>
      <c r="I2941" s="5" t="s">
        <v>7410</v>
      </c>
      <c r="J2941" s="12" t="str">
        <f>HYPERLINK("https://www.boe.es/gazeta/dias/1803/11/25/pdfs/GMD-1803-95.pdf#page=6","Abrir facsímil")</f>
        <v>Abrir facsímil</v>
      </c>
      <c r="K2941" s="15" t="s">
        <v>23</v>
      </c>
    </row>
    <row r="2942" spans="1:11" ht="42" customHeight="1">
      <c r="A2942" s="4" t="s">
        <v>7411</v>
      </c>
      <c r="B2942" s="5" t="s">
        <v>7412</v>
      </c>
      <c r="C2942" s="5" t="s">
        <v>80</v>
      </c>
      <c r="D2942" s="5" t="s">
        <v>81</v>
      </c>
      <c r="E2942" s="5" t="s">
        <v>657</v>
      </c>
      <c r="F2942" s="9">
        <v>24</v>
      </c>
      <c r="G2942" s="9">
        <v>260</v>
      </c>
      <c r="H2942" s="5" t="s">
        <v>21</v>
      </c>
      <c r="I2942" s="5" t="s">
        <v>7413</v>
      </c>
      <c r="J2942" s="12" t="str">
        <f>HYPERLINK("https://www.boe.es/gazeta/dias/1803/03/25/pdfs/GMD-1803-24.pdf#page=12","Abrir facsímil")</f>
        <v>Abrir facsímil</v>
      </c>
      <c r="K2942" s="15" t="s">
        <v>23</v>
      </c>
    </row>
    <row r="2943" spans="1:11" ht="42" customHeight="1">
      <c r="A2943" s="4" t="s">
        <v>7414</v>
      </c>
      <c r="B2943" s="5" t="s">
        <v>7414</v>
      </c>
      <c r="C2943" s="5" t="s">
        <v>80</v>
      </c>
      <c r="D2943" s="5" t="s">
        <v>81</v>
      </c>
      <c r="E2943" s="5" t="s">
        <v>61</v>
      </c>
      <c r="F2943" s="9">
        <v>67</v>
      </c>
      <c r="G2943" s="9">
        <v>732</v>
      </c>
      <c r="H2943" s="5" t="s">
        <v>21</v>
      </c>
      <c r="I2943" s="5" t="s">
        <v>7415</v>
      </c>
      <c r="J2943" s="12" t="str">
        <f>HYPERLINK("https://www.boe.es/gazeta/dias/1803/08/23/pdfs/GMD-1803-67.pdf#page=12","Abrir facsímil")</f>
        <v>Abrir facsímil</v>
      </c>
      <c r="K2943" s="15" t="s">
        <v>23</v>
      </c>
    </row>
    <row r="2944" spans="1:11" ht="42" customHeight="1">
      <c r="A2944" s="4" t="s">
        <v>7416</v>
      </c>
      <c r="B2944" s="5" t="s">
        <v>7416</v>
      </c>
      <c r="C2944" s="5" t="s">
        <v>80</v>
      </c>
      <c r="D2944" s="5" t="s">
        <v>81</v>
      </c>
      <c r="E2944" s="5" t="s">
        <v>199</v>
      </c>
      <c r="F2944" s="9">
        <v>88</v>
      </c>
      <c r="G2944" s="9">
        <v>947</v>
      </c>
      <c r="H2944" s="5" t="s">
        <v>21</v>
      </c>
      <c r="I2944" s="5" t="s">
        <v>7417</v>
      </c>
      <c r="J2944" s="12" t="str">
        <f>HYPERLINK("https://www.boe.es/gazeta/dias/1803/11/01/pdfs/GMD-1803-88.pdf#page=7","Abrir facsímil")</f>
        <v>Abrir facsímil</v>
      </c>
      <c r="K2944" s="15" t="s">
        <v>23</v>
      </c>
    </row>
    <row r="2945" spans="1:11" ht="42" customHeight="1">
      <c r="A2945" s="4" t="s">
        <v>7418</v>
      </c>
      <c r="B2945" s="5" t="s">
        <v>7418</v>
      </c>
      <c r="C2945" s="5" t="s">
        <v>26</v>
      </c>
      <c r="D2945" s="5" t="s">
        <v>27</v>
      </c>
      <c r="E2945" s="5" t="s">
        <v>278</v>
      </c>
      <c r="F2945" s="9">
        <v>46</v>
      </c>
      <c r="G2945" s="9">
        <v>486</v>
      </c>
      <c r="H2945" s="5" t="s">
        <v>21</v>
      </c>
      <c r="I2945" s="5" t="s">
        <v>7419</v>
      </c>
      <c r="J2945" s="12" t="str">
        <f>HYPERLINK("https://www.boe.es/gazeta/dias/1803/06/10/pdfs/GMD-1803-46.pdf#page=10","Abrir facsímil")</f>
        <v>Abrir facsímil</v>
      </c>
      <c r="K2945" s="15" t="s">
        <v>23</v>
      </c>
    </row>
    <row r="2946" spans="1:11" ht="42" customHeight="1">
      <c r="A2946" s="4" t="s">
        <v>7420</v>
      </c>
      <c r="B2946" s="5" t="s">
        <v>7420</v>
      </c>
      <c r="C2946" s="5" t="s">
        <v>40</v>
      </c>
      <c r="D2946" s="5" t="s">
        <v>41</v>
      </c>
      <c r="E2946" s="5" t="s">
        <v>164</v>
      </c>
      <c r="F2946" s="9">
        <v>84</v>
      </c>
      <c r="G2946" s="9">
        <v>901</v>
      </c>
      <c r="H2946" s="5" t="s">
        <v>21</v>
      </c>
      <c r="I2946" s="5" t="s">
        <v>7421</v>
      </c>
      <c r="J2946" s="12" t="str">
        <f>HYPERLINK("https://www.boe.es/gazeta/dias/1803/10/18/pdfs/GMD-1803-84.pdf#page=5","Abrir facsímil")</f>
        <v>Abrir facsímil</v>
      </c>
      <c r="K2946" s="15" t="s">
        <v>23</v>
      </c>
    </row>
    <row r="2947" spans="1:11" ht="42" customHeight="1">
      <c r="A2947" s="4" t="s">
        <v>7422</v>
      </c>
      <c r="B2947" s="5" t="s">
        <v>7422</v>
      </c>
      <c r="C2947" s="5" t="s">
        <v>18</v>
      </c>
      <c r="D2947" s="5" t="s">
        <v>19</v>
      </c>
      <c r="E2947" s="5" t="s">
        <v>278</v>
      </c>
      <c r="F2947" s="9">
        <v>46</v>
      </c>
      <c r="G2947" s="9">
        <v>485</v>
      </c>
      <c r="H2947" s="5" t="s">
        <v>21</v>
      </c>
      <c r="I2947" s="5" t="s">
        <v>7423</v>
      </c>
      <c r="J2947" s="12" t="str">
        <f>HYPERLINK("https://www.boe.es/gazeta/dias/1803/06/10/pdfs/GMD-1803-46.pdf#page=9","Abrir facsímil")</f>
        <v>Abrir facsímil</v>
      </c>
      <c r="K2947" s="15" t="s">
        <v>23</v>
      </c>
    </row>
    <row r="2948" spans="1:11" ht="42" customHeight="1">
      <c r="A2948" s="4" t="s">
        <v>7424</v>
      </c>
      <c r="B2948" s="5" t="s">
        <v>7424</v>
      </c>
      <c r="C2948" s="5" t="s">
        <v>18</v>
      </c>
      <c r="D2948" s="5" t="s">
        <v>19</v>
      </c>
      <c r="E2948" s="5" t="s">
        <v>361</v>
      </c>
      <c r="F2948" s="9">
        <v>62</v>
      </c>
      <c r="G2948" s="9">
        <v>675</v>
      </c>
      <c r="H2948" s="5" t="s">
        <v>21</v>
      </c>
      <c r="I2948" s="5" t="s">
        <v>7425</v>
      </c>
      <c r="J2948" s="12" t="str">
        <f>HYPERLINK("https://www.boe.es/gazeta/dias/1803/08/05/pdfs/GMD-1803-62.pdf#page=7","Abrir facsímil")</f>
        <v>Abrir facsímil</v>
      </c>
      <c r="K2948" s="15" t="s">
        <v>23</v>
      </c>
    </row>
    <row r="2949" spans="1:11" ht="42" customHeight="1">
      <c r="A2949" s="4" t="s">
        <v>7426</v>
      </c>
      <c r="B2949" s="5" t="s">
        <v>7426</v>
      </c>
      <c r="C2949" s="5" t="s">
        <v>40</v>
      </c>
      <c r="D2949" s="5" t="s">
        <v>41</v>
      </c>
      <c r="E2949" s="5" t="s">
        <v>132</v>
      </c>
      <c r="F2949" s="9">
        <v>58</v>
      </c>
      <c r="G2949" s="9">
        <v>639</v>
      </c>
      <c r="H2949" s="5" t="s">
        <v>21</v>
      </c>
      <c r="I2949" s="5" t="s">
        <v>7427</v>
      </c>
      <c r="J2949" s="12" t="str">
        <f>HYPERLINK("https://www.boe.es/gazeta/dias/1803/07/22/pdfs/GMD-1803-58.pdf#page=11","Abrir facsímil")</f>
        <v>Abrir facsímil</v>
      </c>
      <c r="K2949" s="15" t="s">
        <v>23</v>
      </c>
    </row>
    <row r="2950" spans="1:11" ht="42" customHeight="1">
      <c r="A2950" s="4" t="s">
        <v>7428</v>
      </c>
      <c r="B2950" s="5" t="s">
        <v>7428</v>
      </c>
      <c r="C2950" s="5" t="s">
        <v>51</v>
      </c>
      <c r="D2950" s="5" t="s">
        <v>52</v>
      </c>
      <c r="E2950" s="5" t="s">
        <v>399</v>
      </c>
      <c r="F2950" s="9">
        <v>95</v>
      </c>
      <c r="G2950" s="9">
        <v>1019</v>
      </c>
      <c r="H2950" s="5" t="s">
        <v>21</v>
      </c>
      <c r="I2950" s="5" t="s">
        <v>7429</v>
      </c>
      <c r="J2950" s="12" t="str">
        <f>HYPERLINK("https://www.boe.es/gazeta/dias/1803/11/25/pdfs/GMD-1803-95.pdf#page=7","Abrir facsímil")</f>
        <v>Abrir facsímil</v>
      </c>
      <c r="K2950" s="15" t="s">
        <v>23</v>
      </c>
    </row>
    <row r="2951" spans="1:11" ht="42" customHeight="1">
      <c r="A2951" s="4" t="s">
        <v>7430</v>
      </c>
      <c r="B2951" s="5" t="s">
        <v>7430</v>
      </c>
      <c r="C2951" s="5" t="s">
        <v>26</v>
      </c>
      <c r="D2951" s="5" t="s">
        <v>27</v>
      </c>
      <c r="E2951" s="5" t="s">
        <v>289</v>
      </c>
      <c r="F2951" s="9">
        <v>38</v>
      </c>
      <c r="G2951" s="9">
        <v>402</v>
      </c>
      <c r="H2951" s="5" t="s">
        <v>21</v>
      </c>
      <c r="I2951" s="5" t="s">
        <v>7431</v>
      </c>
      <c r="J2951" s="12" t="str">
        <f>HYPERLINK("https://www.boe.es/gazeta/dias/1803/05/13/pdfs/GMD-1803-38.pdf#page=10","Abrir facsímil")</f>
        <v>Abrir facsímil</v>
      </c>
      <c r="K2951" s="15" t="s">
        <v>23</v>
      </c>
    </row>
    <row r="2952" spans="1:11" ht="42" customHeight="1">
      <c r="A2952" s="4" t="s">
        <v>7432</v>
      </c>
      <c r="B2952" s="5" t="s">
        <v>7432</v>
      </c>
      <c r="C2952" s="5" t="s">
        <v>51</v>
      </c>
      <c r="D2952" s="5" t="s">
        <v>52</v>
      </c>
      <c r="E2952" s="5" t="s">
        <v>882</v>
      </c>
      <c r="F2952" s="9">
        <v>60</v>
      </c>
      <c r="G2952" s="9">
        <v>659</v>
      </c>
      <c r="H2952" s="5" t="s">
        <v>21</v>
      </c>
      <c r="I2952" s="5" t="s">
        <v>7433</v>
      </c>
      <c r="J2952" s="12" t="str">
        <f>HYPERLINK("https://www.boe.es/gazeta/dias/1803/07/29/pdfs/GMD-1803-60.pdf#page=11","Abrir facsímil")</f>
        <v>Abrir facsímil</v>
      </c>
      <c r="K2952" s="15" t="s">
        <v>23</v>
      </c>
    </row>
    <row r="2953" spans="1:11" ht="42" customHeight="1">
      <c r="A2953" s="4" t="s">
        <v>7432</v>
      </c>
      <c r="B2953" s="5" t="s">
        <v>7432</v>
      </c>
      <c r="C2953" s="5" t="s">
        <v>26</v>
      </c>
      <c r="D2953" s="5" t="s">
        <v>27</v>
      </c>
      <c r="E2953" s="5" t="s">
        <v>138</v>
      </c>
      <c r="F2953" s="9">
        <v>68</v>
      </c>
      <c r="G2953" s="9">
        <v>743</v>
      </c>
      <c r="H2953" s="5" t="s">
        <v>21</v>
      </c>
      <c r="I2953" s="5" t="s">
        <v>7434</v>
      </c>
      <c r="J2953" s="12" t="str">
        <f>HYPERLINK("https://www.boe.es/gazeta/dias/1803/08/26/pdfs/GMD-1803-68.pdf#page=11","Abrir facsímil")</f>
        <v>Abrir facsímil</v>
      </c>
      <c r="K2953" s="15" t="s">
        <v>23</v>
      </c>
    </row>
    <row r="2954" spans="1:11" ht="42" customHeight="1">
      <c r="A2954" s="4" t="s">
        <v>7435</v>
      </c>
      <c r="B2954" s="5" t="s">
        <v>7435</v>
      </c>
      <c r="C2954" s="5" t="s">
        <v>26</v>
      </c>
      <c r="D2954" s="5" t="s">
        <v>27</v>
      </c>
      <c r="E2954" s="5" t="s">
        <v>77</v>
      </c>
      <c r="F2954" s="9">
        <v>64</v>
      </c>
      <c r="G2954" s="9">
        <v>698</v>
      </c>
      <c r="H2954" s="5" t="s">
        <v>21</v>
      </c>
      <c r="I2954" s="5" t="s">
        <v>7436</v>
      </c>
      <c r="J2954" s="12" t="str">
        <f>HYPERLINK("https://www.boe.es/gazeta/dias/1803/08/12/pdfs/GMD-1803-64.pdf#page=6","Abrir facsímil")</f>
        <v>Abrir facsímil</v>
      </c>
      <c r="K2954" s="15" t="s">
        <v>23</v>
      </c>
    </row>
    <row r="2955" spans="1:11" ht="42" customHeight="1">
      <c r="A2955" s="4" t="s">
        <v>7437</v>
      </c>
      <c r="B2955" s="5" t="s">
        <v>7437</v>
      </c>
      <c r="C2955" s="5" t="s">
        <v>40</v>
      </c>
      <c r="D2955" s="5" t="s">
        <v>41</v>
      </c>
      <c r="E2955" s="5" t="s">
        <v>164</v>
      </c>
      <c r="F2955" s="9">
        <v>84</v>
      </c>
      <c r="G2955" s="9">
        <v>901</v>
      </c>
      <c r="H2955" s="5" t="s">
        <v>21</v>
      </c>
      <c r="I2955" s="5" t="s">
        <v>7438</v>
      </c>
      <c r="J2955" s="12" t="str">
        <f>HYPERLINK("https://www.boe.es/gazeta/dias/1803/10/18/pdfs/GMD-1803-84.pdf#page=5","Abrir facsímil")</f>
        <v>Abrir facsímil</v>
      </c>
      <c r="K2955" s="15" t="s">
        <v>23</v>
      </c>
    </row>
    <row r="2956" spans="1:11" ht="42" customHeight="1">
      <c r="A2956" s="4" t="s">
        <v>7439</v>
      </c>
      <c r="B2956" s="5" t="s">
        <v>7439</v>
      </c>
      <c r="C2956" s="5" t="s">
        <v>26</v>
      </c>
      <c r="D2956" s="5" t="s">
        <v>27</v>
      </c>
      <c r="E2956" s="5" t="s">
        <v>211</v>
      </c>
      <c r="F2956" s="9">
        <v>71</v>
      </c>
      <c r="G2956" s="9">
        <v>779</v>
      </c>
      <c r="H2956" s="5" t="s">
        <v>21</v>
      </c>
      <c r="I2956" s="5" t="s">
        <v>7440</v>
      </c>
      <c r="J2956" s="12" t="str">
        <f>HYPERLINK("https://www.boe.es/gazeta/dias/1803/09/06/pdfs/GMD-1803-71.pdf#page=11","Abrir facsímil")</f>
        <v>Abrir facsímil</v>
      </c>
      <c r="K2956" s="15" t="s">
        <v>23</v>
      </c>
    </row>
    <row r="2957" spans="1:11" ht="42" customHeight="1">
      <c r="A2957" s="4" t="s">
        <v>7441</v>
      </c>
      <c r="B2957" s="5" t="s">
        <v>7442</v>
      </c>
      <c r="C2957" s="5" t="s">
        <v>18</v>
      </c>
      <c r="D2957" s="5" t="s">
        <v>19</v>
      </c>
      <c r="E2957" s="5" t="s">
        <v>102</v>
      </c>
      <c r="F2957" s="9">
        <v>31</v>
      </c>
      <c r="G2957" s="9">
        <v>328</v>
      </c>
      <c r="H2957" s="5" t="s">
        <v>21</v>
      </c>
      <c r="I2957" s="5" t="s">
        <v>7443</v>
      </c>
      <c r="J2957" s="12" t="str">
        <f>HYPERLINK("https://www.boe.es/gazeta/dias/1803/04/19/pdfs/GMD-1803-31.pdf#page=8","Abrir facsímil")</f>
        <v>Abrir facsímil</v>
      </c>
      <c r="K2957" s="15" t="s">
        <v>23</v>
      </c>
    </row>
    <row r="2958" spans="1:11" ht="42" customHeight="1">
      <c r="A2958" s="4" t="s">
        <v>7444</v>
      </c>
      <c r="B2958" s="5" t="s">
        <v>7444</v>
      </c>
      <c r="C2958" s="5" t="s">
        <v>18</v>
      </c>
      <c r="D2958" s="5" t="s">
        <v>19</v>
      </c>
      <c r="E2958" s="5" t="s">
        <v>160</v>
      </c>
      <c r="F2958" s="9">
        <v>81</v>
      </c>
      <c r="G2958" s="9">
        <v>872</v>
      </c>
      <c r="H2958" s="5" t="s">
        <v>21</v>
      </c>
      <c r="I2958" s="5" t="s">
        <v>7445</v>
      </c>
      <c r="J2958" s="12" t="str">
        <f>HYPERLINK("https://www.boe.es/gazeta/dias/1803/10/07/pdfs/GMD-1803-81.pdf#page=8","Abrir facsímil")</f>
        <v>Abrir facsímil</v>
      </c>
      <c r="K2958" s="15" t="s">
        <v>23</v>
      </c>
    </row>
    <row r="2959" spans="1:11" ht="42" customHeight="1">
      <c r="A2959" s="4" t="s">
        <v>7446</v>
      </c>
      <c r="B2959" s="5" t="s">
        <v>7446</v>
      </c>
      <c r="C2959" s="5" t="s">
        <v>26</v>
      </c>
      <c r="D2959" s="5" t="s">
        <v>27</v>
      </c>
      <c r="E2959" s="5" t="s">
        <v>102</v>
      </c>
      <c r="F2959" s="9">
        <v>31</v>
      </c>
      <c r="G2959" s="9">
        <v>326</v>
      </c>
      <c r="H2959" s="5" t="s">
        <v>21</v>
      </c>
      <c r="I2959" s="5" t="s">
        <v>7447</v>
      </c>
      <c r="J2959" s="12" t="str">
        <f>HYPERLINK("https://www.boe.es/gazeta/dias/1803/04/19/pdfs/GMD-1803-31.pdf#page=6","Abrir facsímil")</f>
        <v>Abrir facsímil</v>
      </c>
      <c r="K2959" s="15" t="s">
        <v>23</v>
      </c>
    </row>
    <row r="2960" spans="1:11" ht="42" customHeight="1">
      <c r="A2960" s="4" t="s">
        <v>7448</v>
      </c>
      <c r="B2960" s="5" t="s">
        <v>7448</v>
      </c>
      <c r="C2960" s="5" t="s">
        <v>26</v>
      </c>
      <c r="D2960" s="5" t="s">
        <v>27</v>
      </c>
      <c r="E2960" s="5" t="s">
        <v>501</v>
      </c>
      <c r="F2960" s="9">
        <v>22</v>
      </c>
      <c r="G2960" s="9">
        <v>237</v>
      </c>
      <c r="H2960" s="5" t="s">
        <v>21</v>
      </c>
      <c r="I2960" s="5" t="s">
        <v>7449</v>
      </c>
      <c r="J2960" s="12" t="str">
        <f>HYPERLINK("https://www.boe.es/gazeta/dias/1803/03/18/pdfs/GMD-1803-22.pdf#page=9","Abrir facsímil")</f>
        <v>Abrir facsímil</v>
      </c>
      <c r="K2960" s="15" t="s">
        <v>23</v>
      </c>
    </row>
    <row r="2961" spans="1:11" ht="42" customHeight="1">
      <c r="A2961" s="4" t="s">
        <v>7450</v>
      </c>
      <c r="B2961" s="5" t="s">
        <v>7450</v>
      </c>
      <c r="C2961" s="5" t="s">
        <v>26</v>
      </c>
      <c r="D2961" s="5" t="s">
        <v>27</v>
      </c>
      <c r="E2961" s="5" t="s">
        <v>71</v>
      </c>
      <c r="F2961" s="9">
        <v>39</v>
      </c>
      <c r="G2961" s="9">
        <v>412</v>
      </c>
      <c r="H2961" s="5" t="s">
        <v>21</v>
      </c>
      <c r="I2961" s="5" t="s">
        <v>7451</v>
      </c>
      <c r="J2961" s="12" t="str">
        <f>HYPERLINK("https://www.boe.es/gazeta/dias/1803/05/17/pdfs/GMD-1803-39.pdf#page=8","Abrir facsímil")</f>
        <v>Abrir facsímil</v>
      </c>
      <c r="K2961" s="15" t="s">
        <v>23</v>
      </c>
    </row>
    <row r="2962" spans="1:11" ht="42" customHeight="1">
      <c r="A2962" s="4" t="s">
        <v>7452</v>
      </c>
      <c r="B2962" s="5" t="s">
        <v>7452</v>
      </c>
      <c r="C2962" s="5" t="s">
        <v>26</v>
      </c>
      <c r="D2962" s="5" t="s">
        <v>27</v>
      </c>
      <c r="E2962" s="5" t="s">
        <v>207</v>
      </c>
      <c r="F2962" s="9">
        <v>27</v>
      </c>
      <c r="G2962" s="9">
        <v>292</v>
      </c>
      <c r="H2962" s="5" t="s">
        <v>21</v>
      </c>
      <c r="I2962" s="5" t="s">
        <v>7453</v>
      </c>
      <c r="J2962" s="12" t="str">
        <f>HYPERLINK("https://www.boe.es/gazeta/dias/1803/04/05/pdfs/GMD-1803-27.pdf#page=8","Abrir facsímil")</f>
        <v>Abrir facsímil</v>
      </c>
      <c r="K2962" s="15" t="s">
        <v>23</v>
      </c>
    </row>
    <row r="2963" spans="1:11" ht="42" customHeight="1">
      <c r="A2963" s="4" t="s">
        <v>7454</v>
      </c>
      <c r="B2963" s="5" t="s">
        <v>7455</v>
      </c>
      <c r="C2963" s="5" t="s">
        <v>51</v>
      </c>
      <c r="D2963" s="5" t="s">
        <v>52</v>
      </c>
      <c r="E2963" s="5" t="s">
        <v>174</v>
      </c>
      <c r="F2963" s="9">
        <v>21</v>
      </c>
      <c r="G2963" s="9">
        <v>226</v>
      </c>
      <c r="H2963" s="5" t="s">
        <v>21</v>
      </c>
      <c r="I2963" s="5" t="s">
        <v>7456</v>
      </c>
      <c r="J2963" s="12" t="str">
        <f>HYPERLINK("https://www.boe.es/gazeta/dias/1803/03/15/pdfs/GMD-1803-21.pdf#page=10","Abrir facsímil")</f>
        <v>Abrir facsímil</v>
      </c>
      <c r="K2963" s="15" t="s">
        <v>23</v>
      </c>
    </row>
    <row r="2964" spans="1:11" ht="42" customHeight="1">
      <c r="A2964" s="4" t="s">
        <v>7454</v>
      </c>
      <c r="B2964" s="5" t="s">
        <v>7455</v>
      </c>
      <c r="C2964" s="5" t="s">
        <v>225</v>
      </c>
      <c r="D2964" s="5" t="s">
        <v>226</v>
      </c>
      <c r="E2964" s="5" t="s">
        <v>609</v>
      </c>
      <c r="F2964" s="9">
        <v>57</v>
      </c>
      <c r="G2964" s="9">
        <v>622</v>
      </c>
      <c r="H2964" s="5" t="s">
        <v>21</v>
      </c>
      <c r="I2964" s="5" t="s">
        <v>7457</v>
      </c>
      <c r="J2964" s="12" t="str">
        <f>HYPERLINK("https://www.boe.es/gazeta/dias/1803/07/19/pdfs/GMD-C-1803-57.pdf#page=2","Abrir facsímil")</f>
        <v>Abrir facsímil</v>
      </c>
      <c r="K2964" s="15" t="s">
        <v>23</v>
      </c>
    </row>
    <row r="2965" spans="1:11" ht="42" customHeight="1">
      <c r="A2965" s="4" t="s">
        <v>7458</v>
      </c>
      <c r="B2965" s="5" t="s">
        <v>7459</v>
      </c>
      <c r="C2965" s="5" t="s">
        <v>26</v>
      </c>
      <c r="D2965" s="5" t="s">
        <v>27</v>
      </c>
      <c r="E2965" s="5" t="s">
        <v>882</v>
      </c>
      <c r="F2965" s="9">
        <v>60</v>
      </c>
      <c r="G2965" s="9">
        <v>657</v>
      </c>
      <c r="H2965" s="5" t="s">
        <v>21</v>
      </c>
      <c r="I2965" s="5" t="s">
        <v>7460</v>
      </c>
      <c r="J2965" s="12" t="str">
        <f>HYPERLINK("https://www.boe.es/gazeta/dias/1803/07/29/pdfs/GMD-1803-60.pdf#page=9","Abrir facsímil")</f>
        <v>Abrir facsímil</v>
      </c>
      <c r="K2965" s="15" t="s">
        <v>23</v>
      </c>
    </row>
    <row r="2966" spans="1:11" ht="42" customHeight="1">
      <c r="A2966" s="4" t="s">
        <v>7461</v>
      </c>
      <c r="B2966" s="5" t="s">
        <v>7462</v>
      </c>
      <c r="C2966" s="5" t="s">
        <v>18</v>
      </c>
      <c r="D2966" s="5" t="s">
        <v>19</v>
      </c>
      <c r="E2966" s="5" t="s">
        <v>477</v>
      </c>
      <c r="F2966" s="9">
        <v>48</v>
      </c>
      <c r="G2966" s="9">
        <v>512</v>
      </c>
      <c r="H2966" s="5" t="s">
        <v>21</v>
      </c>
      <c r="I2966" s="5" t="s">
        <v>7463</v>
      </c>
      <c r="J2966" s="12" t="str">
        <f>HYPERLINK("https://www.boe.es/gazeta/dias/1803/06/17/pdfs/GMD-1803-48.pdf#page=12","Abrir facsímil")</f>
        <v>Abrir facsímil</v>
      </c>
      <c r="K2966" s="15" t="s">
        <v>23</v>
      </c>
    </row>
    <row r="2967" spans="1:11" ht="42" customHeight="1">
      <c r="A2967" s="4" t="s">
        <v>7464</v>
      </c>
      <c r="B2967" s="5" t="s">
        <v>7465</v>
      </c>
      <c r="C2967" s="5" t="s">
        <v>18</v>
      </c>
      <c r="D2967" s="5" t="s">
        <v>19</v>
      </c>
      <c r="E2967" s="5" t="s">
        <v>373</v>
      </c>
      <c r="F2967" s="9">
        <v>77</v>
      </c>
      <c r="G2967" s="9">
        <v>833</v>
      </c>
      <c r="H2967" s="5" t="s">
        <v>21</v>
      </c>
      <c r="I2967" s="5" t="s">
        <v>7466</v>
      </c>
      <c r="J2967" s="12" t="str">
        <f>HYPERLINK("https://www.boe.es/gazeta/dias/1803/09/23/pdfs/GMD-1803-77.pdf#page=9","Abrir facsímil")</f>
        <v>Abrir facsímil</v>
      </c>
      <c r="K2967" s="15" t="s">
        <v>23</v>
      </c>
    </row>
    <row r="2968" spans="1:11" ht="42" customHeight="1">
      <c r="A2968" s="4" t="s">
        <v>7467</v>
      </c>
      <c r="B2968" s="5" t="s">
        <v>7468</v>
      </c>
      <c r="C2968" s="5" t="s">
        <v>80</v>
      </c>
      <c r="D2968" s="5" t="s">
        <v>81</v>
      </c>
      <c r="E2968" s="5" t="s">
        <v>207</v>
      </c>
      <c r="F2968" s="9">
        <v>27</v>
      </c>
      <c r="G2968" s="9">
        <v>295</v>
      </c>
      <c r="H2968" s="5" t="s">
        <v>21</v>
      </c>
      <c r="I2968" s="5" t="s">
        <v>7469</v>
      </c>
      <c r="J2968" s="12" t="str">
        <f>HYPERLINK("https://www.boe.es/gazeta/dias/1803/04/05/pdfs/GMD-1803-27.pdf#page=11","Abrir facsímil")</f>
        <v>Abrir facsímil</v>
      </c>
      <c r="K2968" s="15" t="s">
        <v>23</v>
      </c>
    </row>
    <row r="2969" spans="1:11" ht="42" customHeight="1">
      <c r="A2969" s="4" t="s">
        <v>7470</v>
      </c>
      <c r="B2969" s="5" t="s">
        <v>7471</v>
      </c>
      <c r="C2969" s="5" t="s">
        <v>26</v>
      </c>
      <c r="D2969" s="5" t="s">
        <v>27</v>
      </c>
      <c r="E2969" s="5" t="s">
        <v>71</v>
      </c>
      <c r="F2969" s="9">
        <v>39</v>
      </c>
      <c r="G2969" s="9">
        <v>413</v>
      </c>
      <c r="H2969" s="5" t="s">
        <v>21</v>
      </c>
      <c r="I2969" s="5" t="s">
        <v>7472</v>
      </c>
      <c r="J2969" s="12" t="str">
        <f>HYPERLINK("https://www.boe.es/gazeta/dias/1803/05/17/pdfs/GMD-1803-39.pdf#page=9","Abrir facsímil")</f>
        <v>Abrir facsímil</v>
      </c>
      <c r="K2969" s="15" t="s">
        <v>23</v>
      </c>
    </row>
    <row r="2970" spans="1:11" ht="42" customHeight="1">
      <c r="A2970" s="4" t="s">
        <v>7473</v>
      </c>
      <c r="B2970" s="5" t="s">
        <v>7474</v>
      </c>
      <c r="C2970" s="5" t="s">
        <v>40</v>
      </c>
      <c r="D2970" s="5" t="s">
        <v>41</v>
      </c>
      <c r="E2970" s="5" t="s">
        <v>164</v>
      </c>
      <c r="F2970" s="9">
        <v>84</v>
      </c>
      <c r="G2970" s="9">
        <v>901</v>
      </c>
      <c r="H2970" s="5" t="s">
        <v>21</v>
      </c>
      <c r="I2970" s="5" t="s">
        <v>7475</v>
      </c>
      <c r="J2970" s="12" t="str">
        <f>HYPERLINK("https://www.boe.es/gazeta/dias/1803/10/18/pdfs/GMD-1803-84.pdf#page=5","Abrir facsímil")</f>
        <v>Abrir facsímil</v>
      </c>
      <c r="K2970" s="15" t="s">
        <v>23</v>
      </c>
    </row>
    <row r="2971" spans="1:11" ht="42" customHeight="1">
      <c r="A2971" s="4" t="s">
        <v>7476</v>
      </c>
      <c r="B2971" s="5" t="s">
        <v>7477</v>
      </c>
      <c r="C2971" s="5" t="s">
        <v>26</v>
      </c>
      <c r="D2971" s="5" t="s">
        <v>27</v>
      </c>
      <c r="E2971" s="5" t="s">
        <v>403</v>
      </c>
      <c r="F2971" s="9">
        <v>91</v>
      </c>
      <c r="G2971" s="9">
        <v>976</v>
      </c>
      <c r="H2971" s="5" t="s">
        <v>21</v>
      </c>
      <c r="I2971" s="5" t="s">
        <v>7478</v>
      </c>
      <c r="J2971" s="12" t="str">
        <f>HYPERLINK("https://www.boe.es/gazeta/dias/1803/11/11/pdfs/GMD-1803-91.pdf#page=8","Abrir facsímil")</f>
        <v>Abrir facsímil</v>
      </c>
      <c r="K2971" s="15" t="s">
        <v>23</v>
      </c>
    </row>
    <row r="2972" spans="1:11" ht="42" customHeight="1">
      <c r="A2972" s="4" t="s">
        <v>7479</v>
      </c>
      <c r="B2972" s="5" t="s">
        <v>7480</v>
      </c>
      <c r="C2972" s="5" t="s">
        <v>18</v>
      </c>
      <c r="D2972" s="5" t="s">
        <v>19</v>
      </c>
      <c r="E2972" s="5" t="s">
        <v>519</v>
      </c>
      <c r="F2972" s="9">
        <v>50</v>
      </c>
      <c r="G2972" s="9">
        <v>543</v>
      </c>
      <c r="H2972" s="5" t="s">
        <v>21</v>
      </c>
      <c r="I2972" s="5" t="s">
        <v>7481</v>
      </c>
      <c r="J2972" s="12" t="str">
        <f>HYPERLINK("https://www.boe.es/gazeta/dias/1803/06/24/pdfs/GMD-1803-50.pdf#page=11","Abrir facsímil")</f>
        <v>Abrir facsímil</v>
      </c>
      <c r="K2972" s="15" t="s">
        <v>23</v>
      </c>
    </row>
    <row r="2973" spans="1:11" ht="42" customHeight="1">
      <c r="A2973" s="4" t="s">
        <v>7482</v>
      </c>
      <c r="B2973" s="5" t="s">
        <v>7483</v>
      </c>
      <c r="C2973" s="5" t="s">
        <v>26</v>
      </c>
      <c r="D2973" s="5" t="s">
        <v>27</v>
      </c>
      <c r="E2973" s="5" t="s">
        <v>321</v>
      </c>
      <c r="F2973" s="9">
        <v>94</v>
      </c>
      <c r="G2973" s="9">
        <v>1010</v>
      </c>
      <c r="H2973" s="5" t="s">
        <v>21</v>
      </c>
      <c r="I2973" s="5" t="s">
        <v>7484</v>
      </c>
      <c r="J2973" s="12" t="str">
        <f>HYPERLINK("https://www.boe.es/gazeta/dias/1803/11/22/pdfs/GMD-1803-94.pdf#page=10","Abrir facsímil")</f>
        <v>Abrir facsímil</v>
      </c>
      <c r="K2973" s="15" t="s">
        <v>23</v>
      </c>
    </row>
    <row r="2974" spans="1:11" ht="42" customHeight="1">
      <c r="A2974" s="4" t="s">
        <v>7485</v>
      </c>
      <c r="B2974" s="5" t="s">
        <v>7486</v>
      </c>
      <c r="C2974" s="5" t="s">
        <v>51</v>
      </c>
      <c r="D2974" s="5" t="s">
        <v>52</v>
      </c>
      <c r="E2974" s="5" t="s">
        <v>303</v>
      </c>
      <c r="F2974" s="9">
        <v>8</v>
      </c>
      <c r="G2974" s="9">
        <v>79</v>
      </c>
      <c r="H2974" s="5" t="s">
        <v>21</v>
      </c>
      <c r="I2974" s="5" t="s">
        <v>7487</v>
      </c>
      <c r="J2974" s="12" t="str">
        <f>HYPERLINK("https://www.boe.es/gazeta/dias/1803/01/28/pdfs/GMD-1803-8.pdf#page=7","Abrir facsímil")</f>
        <v>Abrir facsímil</v>
      </c>
      <c r="K2974" s="15" t="s">
        <v>23</v>
      </c>
    </row>
    <row r="2975" spans="1:11" ht="42" customHeight="1">
      <c r="A2975" s="4" t="s">
        <v>7488</v>
      </c>
      <c r="B2975" s="5" t="s">
        <v>7489</v>
      </c>
      <c r="C2975" s="5" t="s">
        <v>51</v>
      </c>
      <c r="D2975" s="5" t="s">
        <v>52</v>
      </c>
      <c r="E2975" s="5" t="s">
        <v>258</v>
      </c>
      <c r="F2975" s="9">
        <v>7</v>
      </c>
      <c r="G2975" s="9">
        <v>64</v>
      </c>
      <c r="H2975" s="5" t="s">
        <v>21</v>
      </c>
      <c r="I2975" s="5" t="s">
        <v>7490</v>
      </c>
      <c r="J2975" s="12" t="str">
        <f>HYPERLINK("https://www.boe.es/gazeta/dias/1803/01/25/pdfs/GMD-1803-7.pdf#page=4","Abrir facsímil")</f>
        <v>Abrir facsímil</v>
      </c>
      <c r="K2975" s="15" t="s">
        <v>23</v>
      </c>
    </row>
    <row r="2976" spans="1:11" ht="42" customHeight="1">
      <c r="A2976" s="4" t="s">
        <v>7488</v>
      </c>
      <c r="B2976" s="5" t="s">
        <v>7489</v>
      </c>
      <c r="C2976" s="5" t="s">
        <v>26</v>
      </c>
      <c r="D2976" s="5" t="s">
        <v>27</v>
      </c>
      <c r="E2976" s="5" t="s">
        <v>303</v>
      </c>
      <c r="F2976" s="9">
        <v>8</v>
      </c>
      <c r="G2976" s="9">
        <v>76</v>
      </c>
      <c r="H2976" s="5" t="s">
        <v>21</v>
      </c>
      <c r="I2976" s="5" t="s">
        <v>7491</v>
      </c>
      <c r="J2976" s="12" t="str">
        <f>HYPERLINK("https://www.boe.es/gazeta/dias/1803/01/28/pdfs/GMD-1803-8.pdf#page=4","Abrir facsímil")</f>
        <v>Abrir facsímil</v>
      </c>
      <c r="K2976" s="15" t="s">
        <v>23</v>
      </c>
    </row>
    <row r="2977" spans="1:11" ht="42" customHeight="1">
      <c r="A2977" s="4" t="s">
        <v>7492</v>
      </c>
      <c r="B2977" s="5" t="s">
        <v>7492</v>
      </c>
      <c r="C2977" s="5" t="s">
        <v>26</v>
      </c>
      <c r="D2977" s="5" t="s">
        <v>27</v>
      </c>
      <c r="E2977" s="5" t="s">
        <v>328</v>
      </c>
      <c r="F2977" s="9">
        <v>54</v>
      </c>
      <c r="G2977" s="9">
        <v>591</v>
      </c>
      <c r="H2977" s="5" t="s">
        <v>21</v>
      </c>
      <c r="I2977" s="5" t="s">
        <v>7493</v>
      </c>
      <c r="J2977" s="12" t="str">
        <f>HYPERLINK("https://www.boe.es/gazeta/dias/1803/07/08/pdfs/GMD-1803-54.pdf#page=11","Abrir facsímil")</f>
        <v>Abrir facsímil</v>
      </c>
      <c r="K2977" s="15" t="s">
        <v>23</v>
      </c>
    </row>
    <row r="2978" spans="1:11" ht="42" customHeight="1">
      <c r="A2978" s="4" t="s">
        <v>7494</v>
      </c>
      <c r="B2978" s="5" t="s">
        <v>7495</v>
      </c>
      <c r="C2978" s="5" t="s">
        <v>80</v>
      </c>
      <c r="D2978" s="5" t="s">
        <v>81</v>
      </c>
      <c r="E2978" s="5" t="s">
        <v>77</v>
      </c>
      <c r="F2978" s="9">
        <v>64</v>
      </c>
      <c r="G2978" s="9">
        <v>700</v>
      </c>
      <c r="H2978" s="5" t="s">
        <v>21</v>
      </c>
      <c r="I2978" s="5" t="s">
        <v>7496</v>
      </c>
      <c r="J2978" s="12" t="str">
        <f>HYPERLINK("https://www.boe.es/gazeta/dias/1803/08/12/pdfs/GMD-1803-64.pdf#page=8","Abrir facsímil")</f>
        <v>Abrir facsímil</v>
      </c>
      <c r="K2978" s="15" t="s">
        <v>23</v>
      </c>
    </row>
    <row r="2979" spans="1:11" ht="42" customHeight="1">
      <c r="A2979" s="4" t="s">
        <v>7497</v>
      </c>
      <c r="B2979" s="5" t="s">
        <v>7497</v>
      </c>
      <c r="C2979" s="5" t="s">
        <v>26</v>
      </c>
      <c r="D2979" s="5" t="s">
        <v>27</v>
      </c>
      <c r="E2979" s="5" t="s">
        <v>285</v>
      </c>
      <c r="F2979" s="9">
        <v>5</v>
      </c>
      <c r="G2979" s="9">
        <v>46</v>
      </c>
      <c r="H2979" s="5" t="s">
        <v>21</v>
      </c>
      <c r="I2979" s="5" t="s">
        <v>7498</v>
      </c>
      <c r="J2979" s="12" t="str">
        <f>HYPERLINK("https://www.boe.es/gazeta/dias/1803/01/18/pdfs/GMD-1803-5.pdf#page=10","Abrir facsímil")</f>
        <v>Abrir facsímil</v>
      </c>
      <c r="K2979" s="15" t="s">
        <v>23</v>
      </c>
    </row>
    <row r="2980" spans="1:11" ht="42" customHeight="1">
      <c r="A2980" s="4" t="s">
        <v>7499</v>
      </c>
      <c r="B2980" s="5" t="s">
        <v>7499</v>
      </c>
      <c r="C2980" s="5" t="s">
        <v>40</v>
      </c>
      <c r="D2980" s="5" t="s">
        <v>41</v>
      </c>
      <c r="E2980" s="5" t="s">
        <v>53</v>
      </c>
      <c r="F2980" s="9">
        <v>99</v>
      </c>
      <c r="G2980" s="9">
        <v>1060</v>
      </c>
      <c r="H2980" s="5" t="s">
        <v>21</v>
      </c>
      <c r="I2980" s="5" t="s">
        <v>7500</v>
      </c>
      <c r="J2980" s="12" t="str">
        <f>HYPERLINK("https://www.boe.es/gazeta/dias/1803/12/09/pdfs/GMD-1803-99.pdf#page=8","Abrir facsímil")</f>
        <v>Abrir facsímil</v>
      </c>
      <c r="K2980" s="15" t="s">
        <v>23</v>
      </c>
    </row>
    <row r="2981" spans="1:11" ht="42" customHeight="1">
      <c r="A2981" s="4" t="s">
        <v>7501</v>
      </c>
      <c r="B2981" s="5" t="s">
        <v>7502</v>
      </c>
      <c r="C2981" s="5" t="s">
        <v>80</v>
      </c>
      <c r="D2981" s="5" t="s">
        <v>81</v>
      </c>
      <c r="E2981" s="5" t="s">
        <v>967</v>
      </c>
      <c r="F2981" s="9">
        <v>35</v>
      </c>
      <c r="G2981" s="9">
        <v>368</v>
      </c>
      <c r="H2981" s="5" t="s">
        <v>21</v>
      </c>
      <c r="I2981" s="5" t="s">
        <v>7503</v>
      </c>
      <c r="J2981" s="12" t="str">
        <f>HYPERLINK("https://www.boe.es/gazeta/dias/1803/05/03/pdfs/GMD-1803-35.pdf#page=8","Abrir facsímil")</f>
        <v>Abrir facsímil</v>
      </c>
      <c r="K2981" s="15" t="s">
        <v>23</v>
      </c>
    </row>
    <row r="2982" spans="1:11" ht="42" customHeight="1">
      <c r="A2982" s="4" t="s">
        <v>7501</v>
      </c>
      <c r="B2982" s="5" t="s">
        <v>7502</v>
      </c>
      <c r="C2982" s="5" t="s">
        <v>80</v>
      </c>
      <c r="D2982" s="5" t="s">
        <v>81</v>
      </c>
      <c r="E2982" s="5" t="s">
        <v>477</v>
      </c>
      <c r="F2982" s="9">
        <v>48</v>
      </c>
      <c r="G2982" s="9">
        <v>512</v>
      </c>
      <c r="H2982" s="5" t="s">
        <v>21</v>
      </c>
      <c r="I2982" s="5" t="s">
        <v>7504</v>
      </c>
      <c r="J2982" s="12" t="str">
        <f>HYPERLINK("https://www.boe.es/gazeta/dias/1803/06/17/pdfs/GMD-1803-48.pdf#page=12","Abrir facsímil")</f>
        <v>Abrir facsímil</v>
      </c>
      <c r="K2982" s="15" t="s">
        <v>23</v>
      </c>
    </row>
    <row r="2983" spans="1:11" ht="42" customHeight="1">
      <c r="A2983" s="4" t="s">
        <v>7505</v>
      </c>
      <c r="B2983" s="5" t="s">
        <v>7506</v>
      </c>
      <c r="C2983" s="5" t="s">
        <v>26</v>
      </c>
      <c r="D2983" s="5" t="s">
        <v>27</v>
      </c>
      <c r="E2983" s="5" t="s">
        <v>207</v>
      </c>
      <c r="F2983" s="9">
        <v>27</v>
      </c>
      <c r="G2983" s="9">
        <v>293</v>
      </c>
      <c r="H2983" s="5" t="s">
        <v>21</v>
      </c>
      <c r="I2983" s="5" t="s">
        <v>7507</v>
      </c>
      <c r="J2983" s="12" t="str">
        <f>HYPERLINK("https://www.boe.es/gazeta/dias/1803/04/05/pdfs/GMD-1803-27.pdf#page=9","Abrir facsímil")</f>
        <v>Abrir facsímil</v>
      </c>
      <c r="K2983" s="15" t="s">
        <v>23</v>
      </c>
    </row>
    <row r="2984" spans="1:11" ht="42" customHeight="1">
      <c r="A2984" s="4" t="s">
        <v>7508</v>
      </c>
      <c r="B2984" s="5" t="s">
        <v>7509</v>
      </c>
      <c r="C2984" s="5" t="s">
        <v>18</v>
      </c>
      <c r="D2984" s="5" t="s">
        <v>19</v>
      </c>
      <c r="E2984" s="5" t="s">
        <v>148</v>
      </c>
      <c r="F2984" s="9">
        <v>15</v>
      </c>
      <c r="G2984" s="9">
        <v>156</v>
      </c>
      <c r="H2984" s="5" t="s">
        <v>21</v>
      </c>
      <c r="I2984" s="5" t="s">
        <v>7510</v>
      </c>
      <c r="J2984" s="12" t="str">
        <f>HYPERLINK("https://www.boe.es/gazeta/dias/1803/02/22/pdfs/GMD-1803-15.pdf#page=8","Abrir facsímil")</f>
        <v>Abrir facsímil</v>
      </c>
      <c r="K2984" s="15" t="s">
        <v>23</v>
      </c>
    </row>
    <row r="2985" spans="1:11" ht="42" customHeight="1">
      <c r="A2985" s="4" t="s">
        <v>7511</v>
      </c>
      <c r="B2985" s="5" t="s">
        <v>7512</v>
      </c>
      <c r="C2985" s="5" t="s">
        <v>26</v>
      </c>
      <c r="D2985" s="5" t="s">
        <v>27</v>
      </c>
      <c r="E2985" s="5" t="s">
        <v>501</v>
      </c>
      <c r="F2985" s="9">
        <v>22</v>
      </c>
      <c r="G2985" s="9">
        <v>237</v>
      </c>
      <c r="H2985" s="5" t="s">
        <v>21</v>
      </c>
      <c r="I2985" s="5" t="s">
        <v>7513</v>
      </c>
      <c r="J2985" s="12" t="str">
        <f>HYPERLINK("https://www.boe.es/gazeta/dias/1803/03/18/pdfs/GMD-1803-22.pdf#page=9","Abrir facsímil")</f>
        <v>Abrir facsímil</v>
      </c>
      <c r="K2985" s="15" t="s">
        <v>23</v>
      </c>
    </row>
    <row r="2986" spans="1:11" ht="42" customHeight="1">
      <c r="A2986" s="4" t="s">
        <v>7514</v>
      </c>
      <c r="B2986" s="5" t="s">
        <v>7515</v>
      </c>
      <c r="C2986" s="5" t="s">
        <v>26</v>
      </c>
      <c r="D2986" s="5" t="s">
        <v>27</v>
      </c>
      <c r="E2986" s="5" t="s">
        <v>263</v>
      </c>
      <c r="F2986" s="9">
        <v>75</v>
      </c>
      <c r="G2986" s="9">
        <v>810</v>
      </c>
      <c r="H2986" s="5" t="s">
        <v>21</v>
      </c>
      <c r="I2986" s="5" t="s">
        <v>7516</v>
      </c>
      <c r="J2986" s="12" t="str">
        <f>HYPERLINK("https://www.boe.es/gazeta/dias/1803/09/16/pdfs/GMD-1803-75.pdf#page=6","Abrir facsímil")</f>
        <v>Abrir facsímil</v>
      </c>
      <c r="K2986" s="15" t="s">
        <v>23</v>
      </c>
    </row>
    <row r="2987" spans="1:11" ht="42" customHeight="1">
      <c r="A2987" s="4" t="s">
        <v>7517</v>
      </c>
      <c r="B2987" s="5" t="s">
        <v>7518</v>
      </c>
      <c r="C2987" s="5" t="s">
        <v>80</v>
      </c>
      <c r="D2987" s="5" t="s">
        <v>81</v>
      </c>
      <c r="E2987" s="5" t="s">
        <v>178</v>
      </c>
      <c r="F2987" s="9">
        <v>36</v>
      </c>
      <c r="G2987" s="9">
        <v>375</v>
      </c>
      <c r="H2987" s="5" t="s">
        <v>21</v>
      </c>
      <c r="I2987" s="5" t="s">
        <v>7519</v>
      </c>
      <c r="J2987" s="12" t="str">
        <f>HYPERLINK("https://www.boe.es/gazeta/dias/1803/05/06/pdfs/GMD-1803-36.pdf#page=7","Abrir facsímil")</f>
        <v>Abrir facsímil</v>
      </c>
      <c r="K2987" s="15" t="s">
        <v>23</v>
      </c>
    </row>
    <row r="2988" spans="1:11" ht="42" customHeight="1">
      <c r="A2988" s="4" t="s">
        <v>7520</v>
      </c>
      <c r="B2988" s="5" t="s">
        <v>7521</v>
      </c>
      <c r="C2988" s="5" t="s">
        <v>46</v>
      </c>
      <c r="D2988" s="5" t="s">
        <v>19</v>
      </c>
      <c r="E2988" s="5" t="s">
        <v>493</v>
      </c>
      <c r="F2988" s="9">
        <v>104</v>
      </c>
      <c r="G2988" s="9">
        <v>1115</v>
      </c>
      <c r="H2988" s="5" t="s">
        <v>21</v>
      </c>
      <c r="I2988" s="5" t="s">
        <v>7522</v>
      </c>
      <c r="J2988" s="12" t="str">
        <f>HYPERLINK("https://www.boe.es/gazeta/dias/1803/12/27/pdfs/GMD-1803-104.pdf#page=7","Abrir facsímil")</f>
        <v>Abrir facsímil</v>
      </c>
      <c r="K2988" s="15" t="s">
        <v>23</v>
      </c>
    </row>
    <row r="2989" spans="1:11" ht="42" customHeight="1">
      <c r="A2989" s="4" t="s">
        <v>7523</v>
      </c>
      <c r="B2989" s="5" t="s">
        <v>7524</v>
      </c>
      <c r="C2989" s="5" t="s">
        <v>46</v>
      </c>
      <c r="D2989" s="5" t="s">
        <v>19</v>
      </c>
      <c r="E2989" s="5" t="s">
        <v>336</v>
      </c>
      <c r="F2989" s="9">
        <v>105</v>
      </c>
      <c r="G2989" s="9">
        <v>1124</v>
      </c>
      <c r="H2989" s="5" t="s">
        <v>21</v>
      </c>
      <c r="I2989" s="5" t="s">
        <v>7525</v>
      </c>
      <c r="J2989" s="12" t="str">
        <f>HYPERLINK("https://www.boe.es/gazeta/dias/1803/12/30/pdfs/GMD-1803-105.pdf#page=8","Abrir facsímil")</f>
        <v>Abrir facsímil</v>
      </c>
      <c r="K2989" s="15" t="s">
        <v>23</v>
      </c>
    </row>
    <row r="2990" spans="1:11" ht="42" customHeight="1">
      <c r="A2990" s="4" t="s">
        <v>7526</v>
      </c>
      <c r="B2990" s="5" t="s">
        <v>7527</v>
      </c>
      <c r="C2990" s="5" t="s">
        <v>26</v>
      </c>
      <c r="D2990" s="5" t="s">
        <v>27</v>
      </c>
      <c r="E2990" s="5" t="s">
        <v>336</v>
      </c>
      <c r="F2990" s="9">
        <v>105</v>
      </c>
      <c r="G2990" s="9">
        <v>1121</v>
      </c>
      <c r="H2990" s="5" t="s">
        <v>21</v>
      </c>
      <c r="I2990" s="5" t="s">
        <v>7528</v>
      </c>
      <c r="J2990" s="12" t="str">
        <f>HYPERLINK("https://www.boe.es/gazeta/dias/1803/12/30/pdfs/GMD-1803-105.pdf#page=5","Abrir facsímil")</f>
        <v>Abrir facsímil</v>
      </c>
      <c r="K2990" s="15" t="s">
        <v>23</v>
      </c>
    </row>
    <row r="2991" spans="1:11" ht="42" customHeight="1">
      <c r="A2991" s="4" t="s">
        <v>7529</v>
      </c>
      <c r="B2991" s="5" t="s">
        <v>7530</v>
      </c>
      <c r="C2991" s="5" t="s">
        <v>51</v>
      </c>
      <c r="D2991" s="5" t="s">
        <v>52</v>
      </c>
      <c r="E2991" s="5" t="s">
        <v>109</v>
      </c>
      <c r="F2991" s="9">
        <v>102</v>
      </c>
      <c r="G2991" s="9">
        <v>1097</v>
      </c>
      <c r="H2991" s="5" t="s">
        <v>21</v>
      </c>
      <c r="I2991" s="5" t="s">
        <v>7531</v>
      </c>
      <c r="J2991" s="12" t="str">
        <f>HYPERLINK("https://www.boe.es/gazeta/dias/1803/12/20/pdfs/GMD-1803-102.pdf#page=9","Abrir facsímil")</f>
        <v>Abrir facsímil</v>
      </c>
      <c r="K2991" s="15" t="s">
        <v>23</v>
      </c>
    </row>
    <row r="2992" spans="1:11" ht="42" customHeight="1">
      <c r="A2992" s="4" t="s">
        <v>7532</v>
      </c>
      <c r="B2992" s="5" t="s">
        <v>7533</v>
      </c>
      <c r="C2992" s="5" t="s">
        <v>80</v>
      </c>
      <c r="D2992" s="5" t="s">
        <v>81</v>
      </c>
      <c r="E2992" s="5" t="s">
        <v>501</v>
      </c>
      <c r="F2992" s="9">
        <v>22</v>
      </c>
      <c r="G2992" s="9">
        <v>240</v>
      </c>
      <c r="H2992" s="5" t="s">
        <v>21</v>
      </c>
      <c r="I2992" s="5" t="s">
        <v>7534</v>
      </c>
      <c r="J2992" s="12" t="str">
        <f>HYPERLINK("https://www.boe.es/gazeta/dias/1803/03/18/pdfs/GMD-1803-22.pdf#page=12","Abrir facsímil")</f>
        <v>Abrir facsímil</v>
      </c>
      <c r="K2992" s="15" t="s">
        <v>23</v>
      </c>
    </row>
    <row r="2993" spans="1:11" ht="42" customHeight="1">
      <c r="A2993" s="4" t="s">
        <v>7532</v>
      </c>
      <c r="B2993" s="5" t="s">
        <v>7533</v>
      </c>
      <c r="C2993" s="5" t="s">
        <v>80</v>
      </c>
      <c r="D2993" s="5" t="s">
        <v>81</v>
      </c>
      <c r="E2993" s="5" t="s">
        <v>1915</v>
      </c>
      <c r="F2993" s="9">
        <v>44</v>
      </c>
      <c r="G2993" s="9">
        <v>460</v>
      </c>
      <c r="H2993" s="5" t="s">
        <v>21</v>
      </c>
      <c r="I2993" s="5" t="s">
        <v>7535</v>
      </c>
      <c r="J2993" s="12" t="str">
        <f>HYPERLINK("https://www.boe.es/gazeta/dias/1803/06/03/pdfs/GMD-1803-44.pdf#page=8","Abrir facsímil")</f>
        <v>Abrir facsímil</v>
      </c>
      <c r="K2993" s="15" t="s">
        <v>23</v>
      </c>
    </row>
    <row r="2994" spans="1:11" ht="42" customHeight="1">
      <c r="A2994" s="4" t="s">
        <v>7532</v>
      </c>
      <c r="B2994" s="5" t="s">
        <v>7533</v>
      </c>
      <c r="C2994" s="5" t="s">
        <v>51</v>
      </c>
      <c r="D2994" s="5" t="s">
        <v>52</v>
      </c>
      <c r="E2994" s="5" t="s">
        <v>630</v>
      </c>
      <c r="F2994" s="9">
        <v>85</v>
      </c>
      <c r="G2994" s="9">
        <v>920</v>
      </c>
      <c r="H2994" s="5" t="s">
        <v>21</v>
      </c>
      <c r="I2994" s="5" t="s">
        <v>7536</v>
      </c>
      <c r="J2994" s="12" t="str">
        <f>HYPERLINK("https://www.boe.es/gazeta/dias/1803/10/21/pdfs/GMD-1803-85.pdf#page=12","Abrir facsímil")</f>
        <v>Abrir facsímil</v>
      </c>
      <c r="K2994" s="15" t="s">
        <v>23</v>
      </c>
    </row>
    <row r="2995" spans="1:11" ht="42" customHeight="1">
      <c r="A2995" s="4" t="s">
        <v>7537</v>
      </c>
      <c r="B2995" s="5" t="s">
        <v>7537</v>
      </c>
      <c r="C2995" s="5" t="s">
        <v>40</v>
      </c>
      <c r="D2995" s="5" t="s">
        <v>41</v>
      </c>
      <c r="E2995" s="5" t="s">
        <v>117</v>
      </c>
      <c r="F2995" s="9">
        <v>59</v>
      </c>
      <c r="G2995" s="9">
        <v>643</v>
      </c>
      <c r="H2995" s="5" t="s">
        <v>21</v>
      </c>
      <c r="I2995" s="5" t="s">
        <v>7538</v>
      </c>
      <c r="J2995" s="12" t="str">
        <f>HYPERLINK("https://www.boe.es/gazeta/dias/1803/07/26/pdfs/GMD-1803-59.pdf#page=3","Abrir facsímil")</f>
        <v>Abrir facsímil</v>
      </c>
      <c r="K2995" s="15" t="s">
        <v>23</v>
      </c>
    </row>
    <row r="2996" spans="1:11" ht="42" customHeight="1">
      <c r="A2996" s="4" t="s">
        <v>7539</v>
      </c>
      <c r="B2996" s="5" t="s">
        <v>7540</v>
      </c>
      <c r="C2996" s="5" t="s">
        <v>46</v>
      </c>
      <c r="D2996" s="5" t="s">
        <v>19</v>
      </c>
      <c r="E2996" s="5" t="s">
        <v>439</v>
      </c>
      <c r="F2996" s="9">
        <v>76</v>
      </c>
      <c r="G2996" s="9">
        <v>822</v>
      </c>
      <c r="H2996" s="5" t="s">
        <v>21</v>
      </c>
      <c r="I2996" s="5" t="s">
        <v>7541</v>
      </c>
      <c r="J2996" s="12" t="str">
        <f>HYPERLINK("https://www.boe.es/gazeta/dias/1803/09/20/pdfs/GMD-1803-76.pdf#page=10","Abrir facsímil")</f>
        <v>Abrir facsímil</v>
      </c>
      <c r="K2996" s="15" t="s">
        <v>23</v>
      </c>
    </row>
    <row r="2997" spans="1:11" ht="42" customHeight="1">
      <c r="A2997" s="4" t="s">
        <v>7542</v>
      </c>
      <c r="B2997" s="5" t="s">
        <v>7542</v>
      </c>
      <c r="C2997" s="5" t="s">
        <v>26</v>
      </c>
      <c r="D2997" s="5" t="s">
        <v>27</v>
      </c>
      <c r="E2997" s="5" t="s">
        <v>289</v>
      </c>
      <c r="F2997" s="9">
        <v>38</v>
      </c>
      <c r="G2997" s="9">
        <v>402</v>
      </c>
      <c r="H2997" s="5" t="s">
        <v>21</v>
      </c>
      <c r="I2997" s="5" t="s">
        <v>7543</v>
      </c>
      <c r="J2997" s="12" t="str">
        <f>HYPERLINK("https://www.boe.es/gazeta/dias/1803/05/13/pdfs/GMD-1803-38.pdf#page=10","Abrir facsímil")</f>
        <v>Abrir facsímil</v>
      </c>
      <c r="K2997" s="15" t="s">
        <v>23</v>
      </c>
    </row>
    <row r="2998" spans="1:11" ht="42" customHeight="1">
      <c r="A2998" s="4" t="s">
        <v>7544</v>
      </c>
      <c r="B2998" s="5" t="s">
        <v>7545</v>
      </c>
      <c r="C2998" s="5" t="s">
        <v>40</v>
      </c>
      <c r="D2998" s="5" t="s">
        <v>41</v>
      </c>
      <c r="E2998" s="5" t="s">
        <v>28</v>
      </c>
      <c r="F2998" s="9">
        <v>92</v>
      </c>
      <c r="G2998" s="9">
        <v>986</v>
      </c>
      <c r="H2998" s="5" t="s">
        <v>21</v>
      </c>
      <c r="I2998" s="5" t="s">
        <v>7546</v>
      </c>
      <c r="J2998" s="12" t="str">
        <f>HYPERLINK("https://www.boe.es/gazeta/dias/1803/11/15/pdfs/GMD-1803-92.pdf#page=6","Abrir facsímil")</f>
        <v>Abrir facsímil</v>
      </c>
      <c r="K2998" s="15" t="s">
        <v>23</v>
      </c>
    </row>
    <row r="2999" spans="1:11" ht="42" customHeight="1">
      <c r="A2999" s="4" t="s">
        <v>7547</v>
      </c>
      <c r="B2999" s="5" t="s">
        <v>7548</v>
      </c>
      <c r="C2999" s="5" t="s">
        <v>80</v>
      </c>
      <c r="D2999" s="5" t="s">
        <v>81</v>
      </c>
      <c r="E2999" s="5" t="s">
        <v>752</v>
      </c>
      <c r="F2999" s="9">
        <v>30</v>
      </c>
      <c r="G2999" s="9">
        <v>320</v>
      </c>
      <c r="H2999" s="5" t="s">
        <v>21</v>
      </c>
      <c r="I2999" s="5" t="s">
        <v>7549</v>
      </c>
      <c r="J2999" s="12" t="str">
        <f>HYPERLINK("https://www.boe.es/gazeta/dias/1803/04/15/pdfs/GMD-1803-30.pdf#page=8","Abrir facsímil")</f>
        <v>Abrir facsímil</v>
      </c>
      <c r="K2999" s="15" t="s">
        <v>23</v>
      </c>
    </row>
    <row r="3000" spans="1:11" ht="42" customHeight="1">
      <c r="A3000" s="4" t="s">
        <v>7550</v>
      </c>
      <c r="B3000" s="5" t="s">
        <v>7551</v>
      </c>
      <c r="C3000" s="5" t="s">
        <v>51</v>
      </c>
      <c r="D3000" s="5" t="s">
        <v>52</v>
      </c>
      <c r="E3000" s="5" t="s">
        <v>514</v>
      </c>
      <c r="F3000" s="9">
        <v>42</v>
      </c>
      <c r="G3000" s="9">
        <v>439</v>
      </c>
      <c r="H3000" s="5" t="s">
        <v>21</v>
      </c>
      <c r="I3000" s="5" t="s">
        <v>7552</v>
      </c>
      <c r="J3000" s="12" t="str">
        <f>HYPERLINK("https://www.boe.es/gazeta/dias/1803/05/27/pdfs/GMD-1803-42.pdf#page=7","Abrir facsímil")</f>
        <v>Abrir facsímil</v>
      </c>
      <c r="K3000" s="15" t="s">
        <v>23</v>
      </c>
    </row>
    <row r="3001" spans="1:11" ht="42" customHeight="1">
      <c r="A3001" s="4" t="s">
        <v>7553</v>
      </c>
      <c r="B3001" s="5" t="s">
        <v>7554</v>
      </c>
      <c r="C3001" s="5" t="s">
        <v>26</v>
      </c>
      <c r="D3001" s="5" t="s">
        <v>27</v>
      </c>
      <c r="E3001" s="5" t="s">
        <v>285</v>
      </c>
      <c r="F3001" s="9">
        <v>5</v>
      </c>
      <c r="G3001" s="9">
        <v>47</v>
      </c>
      <c r="H3001" s="5" t="s">
        <v>21</v>
      </c>
      <c r="I3001" s="5" t="s">
        <v>7555</v>
      </c>
      <c r="J3001" s="12" t="str">
        <f>HYPERLINK("https://www.boe.es/gazeta/dias/1803/01/18/pdfs/GMD-1803-5.pdf#page=11","Abrir facsímil")</f>
        <v>Abrir facsímil</v>
      </c>
      <c r="K3001" s="15" t="s">
        <v>23</v>
      </c>
    </row>
    <row r="3002" spans="1:11" ht="42" customHeight="1">
      <c r="A3002" s="4" t="s">
        <v>7556</v>
      </c>
      <c r="B3002" s="5" t="s">
        <v>7557</v>
      </c>
      <c r="C3002" s="5" t="s">
        <v>18</v>
      </c>
      <c r="D3002" s="5" t="s">
        <v>19</v>
      </c>
      <c r="E3002" s="5" t="s">
        <v>191</v>
      </c>
      <c r="F3002" s="9">
        <v>34</v>
      </c>
      <c r="G3002" s="9">
        <v>358</v>
      </c>
      <c r="H3002" s="5" t="s">
        <v>21</v>
      </c>
      <c r="I3002" s="5" t="s">
        <v>7558</v>
      </c>
      <c r="J3002" s="12" t="str">
        <f>HYPERLINK("https://www.boe.es/gazeta/dias/1803/04/29/pdfs/GMD-1803-34.pdf#page=6","Abrir facsímil")</f>
        <v>Abrir facsímil</v>
      </c>
      <c r="K3002" s="15" t="s">
        <v>23</v>
      </c>
    </row>
    <row r="3003" spans="1:11" ht="42" customHeight="1">
      <c r="A3003" s="4" t="s">
        <v>7559</v>
      </c>
      <c r="B3003" s="5" t="s">
        <v>7560</v>
      </c>
      <c r="C3003" s="5" t="s">
        <v>46</v>
      </c>
      <c r="D3003" s="5" t="s">
        <v>19</v>
      </c>
      <c r="E3003" s="5" t="s">
        <v>174</v>
      </c>
      <c r="F3003" s="9">
        <v>21</v>
      </c>
      <c r="G3003" s="9">
        <v>226</v>
      </c>
      <c r="H3003" s="5" t="s">
        <v>21</v>
      </c>
      <c r="I3003" s="5" t="s">
        <v>7561</v>
      </c>
      <c r="J3003" s="12" t="str">
        <f>HYPERLINK("https://www.boe.es/gazeta/dias/1803/03/15/pdfs/GMD-1803-21.pdf#page=10","Abrir facsímil")</f>
        <v>Abrir facsímil</v>
      </c>
      <c r="K3003" s="15" t="s">
        <v>23</v>
      </c>
    </row>
    <row r="3004" spans="1:11" ht="42" customHeight="1">
      <c r="A3004" s="4" t="s">
        <v>7562</v>
      </c>
      <c r="B3004" s="5" t="s">
        <v>7563</v>
      </c>
      <c r="C3004" s="5" t="s">
        <v>46</v>
      </c>
      <c r="D3004" s="5" t="s">
        <v>19</v>
      </c>
      <c r="E3004" s="5" t="s">
        <v>609</v>
      </c>
      <c r="F3004" s="9">
        <v>57</v>
      </c>
      <c r="G3004" s="9">
        <v>622</v>
      </c>
      <c r="H3004" s="5" t="s">
        <v>21</v>
      </c>
      <c r="I3004" s="5" t="s">
        <v>7564</v>
      </c>
      <c r="J3004" s="12" t="str">
        <f>HYPERLINK("https://www.boe.es/gazeta/dias/1803/07/19/pdfs/GMD-C-1803-57.pdf#page=2","Abrir facsímil")</f>
        <v>Abrir facsímil</v>
      </c>
      <c r="K3004" s="15" t="s">
        <v>23</v>
      </c>
    </row>
    <row r="3005" spans="1:11" ht="42" customHeight="1">
      <c r="A3005" s="4" t="s">
        <v>7562</v>
      </c>
      <c r="B3005" s="5" t="s">
        <v>7563</v>
      </c>
      <c r="C3005" s="5" t="s">
        <v>46</v>
      </c>
      <c r="D3005" s="5" t="s">
        <v>19</v>
      </c>
      <c r="E3005" s="5" t="s">
        <v>113</v>
      </c>
      <c r="F3005" s="9">
        <v>93</v>
      </c>
      <c r="G3005" s="9">
        <v>997</v>
      </c>
      <c r="H3005" s="5" t="s">
        <v>21</v>
      </c>
      <c r="I3005" s="5" t="s">
        <v>7565</v>
      </c>
      <c r="J3005" s="12" t="str">
        <f>HYPERLINK("https://www.boe.es/gazeta/dias/1803/11/18/pdfs/GMD-1803-93.pdf#page=9","Abrir facsímil")</f>
        <v>Abrir facsímil</v>
      </c>
      <c r="K3005" s="15" t="s">
        <v>23</v>
      </c>
    </row>
    <row r="3006" spans="1:11" ht="42" customHeight="1">
      <c r="A3006" s="4" t="s">
        <v>7566</v>
      </c>
      <c r="B3006" s="5" t="s">
        <v>7567</v>
      </c>
      <c r="C3006" s="5" t="s">
        <v>80</v>
      </c>
      <c r="D3006" s="5" t="s">
        <v>81</v>
      </c>
      <c r="E3006" s="5" t="s">
        <v>300</v>
      </c>
      <c r="F3006" s="9">
        <v>96</v>
      </c>
      <c r="G3006" s="9">
        <v>1036</v>
      </c>
      <c r="H3006" s="5" t="s">
        <v>21</v>
      </c>
      <c r="I3006" s="5" t="s">
        <v>7568</v>
      </c>
      <c r="J3006" s="12" t="str">
        <f>HYPERLINK("https://www.boe.es/gazeta/dias/1803/11/29/pdfs/GMD-1803-96.pdf#page=12","Abrir facsímil")</f>
        <v>Abrir facsímil</v>
      </c>
      <c r="K3006" s="15" t="s">
        <v>23</v>
      </c>
    </row>
    <row r="3007" spans="1:11" ht="42" customHeight="1">
      <c r="A3007" s="4" t="s">
        <v>7569</v>
      </c>
      <c r="B3007" s="5" t="s">
        <v>7570</v>
      </c>
      <c r="C3007" s="5" t="s">
        <v>26</v>
      </c>
      <c r="D3007" s="5" t="s">
        <v>27</v>
      </c>
      <c r="E3007" s="5" t="s">
        <v>919</v>
      </c>
      <c r="F3007" s="9">
        <v>69</v>
      </c>
      <c r="G3007" s="9">
        <v>749</v>
      </c>
      <c r="H3007" s="5" t="s">
        <v>21</v>
      </c>
      <c r="I3007" s="5" t="s">
        <v>7571</v>
      </c>
      <c r="J3007" s="12" t="str">
        <f>HYPERLINK("https://www.boe.es/gazeta/dias/1803/08/30/pdfs/GMD-1803-69.pdf#page=5","Abrir facsímil")</f>
        <v>Abrir facsímil</v>
      </c>
      <c r="K3007" s="15" t="s">
        <v>23</v>
      </c>
    </row>
    <row r="3008" spans="1:11" ht="42" customHeight="1">
      <c r="A3008" s="4" t="s">
        <v>7572</v>
      </c>
      <c r="B3008" s="5" t="s">
        <v>7573</v>
      </c>
      <c r="C3008" s="5" t="s">
        <v>51</v>
      </c>
      <c r="D3008" s="5" t="s">
        <v>52</v>
      </c>
      <c r="E3008" s="5" t="s">
        <v>272</v>
      </c>
      <c r="F3008" s="9">
        <v>25</v>
      </c>
      <c r="G3008" s="9">
        <v>266</v>
      </c>
      <c r="H3008" s="5" t="s">
        <v>21</v>
      </c>
      <c r="I3008" s="5" t="s">
        <v>7574</v>
      </c>
      <c r="J3008" s="12" t="str">
        <f>HYPERLINK("https://www.boe.es/gazeta/dias/1803/03/29/pdfs/GMD-1803-25.pdf#page=6","Abrir facsímil")</f>
        <v>Abrir facsímil</v>
      </c>
      <c r="K3008" s="15" t="s">
        <v>23</v>
      </c>
    </row>
    <row r="3009" spans="1:11" ht="42" customHeight="1">
      <c r="A3009" s="4" t="s">
        <v>7575</v>
      </c>
      <c r="B3009" s="5" t="s">
        <v>7576</v>
      </c>
      <c r="C3009" s="5" t="s">
        <v>46</v>
      </c>
      <c r="D3009" s="5" t="s">
        <v>19</v>
      </c>
      <c r="E3009" s="5" t="s">
        <v>795</v>
      </c>
      <c r="F3009" s="9">
        <v>98</v>
      </c>
      <c r="G3009" s="9">
        <v>1050</v>
      </c>
      <c r="H3009" s="5" t="s">
        <v>21</v>
      </c>
      <c r="I3009" s="5" t="s">
        <v>7577</v>
      </c>
      <c r="J3009" s="12" t="str">
        <f>HYPERLINK("https://www.boe.es/gazeta/dias/1803/12/06/pdfs/GMD-1803-98.pdf#page=6","Abrir facsímil")</f>
        <v>Abrir facsímil</v>
      </c>
      <c r="K3009" s="15" t="s">
        <v>23</v>
      </c>
    </row>
    <row r="3010" spans="1:11" ht="42" customHeight="1">
      <c r="A3010" s="4" t="s">
        <v>7578</v>
      </c>
      <c r="B3010" s="5" t="s">
        <v>7579</v>
      </c>
      <c r="C3010" s="5" t="s">
        <v>46</v>
      </c>
      <c r="D3010" s="5" t="s">
        <v>19</v>
      </c>
      <c r="E3010" s="5" t="s">
        <v>231</v>
      </c>
      <c r="F3010" s="9">
        <v>26</v>
      </c>
      <c r="G3010" s="9">
        <v>283</v>
      </c>
      <c r="H3010" s="5" t="s">
        <v>21</v>
      </c>
      <c r="I3010" s="5" t="s">
        <v>7580</v>
      </c>
      <c r="J3010" s="12" t="str">
        <f>HYPERLINK("https://www.boe.es/gazeta/dias/1803/04/01/pdfs/GMD-1803-26.pdf#page=11","Abrir facsímil")</f>
        <v>Abrir facsímil</v>
      </c>
      <c r="K3010" s="15" t="s">
        <v>23</v>
      </c>
    </row>
    <row r="3011" spans="1:11" ht="42" customHeight="1">
      <c r="A3011" s="4" t="s">
        <v>7581</v>
      </c>
      <c r="B3011" s="5" t="s">
        <v>7582</v>
      </c>
      <c r="C3011" s="5" t="s">
        <v>46</v>
      </c>
      <c r="D3011" s="5" t="s">
        <v>19</v>
      </c>
      <c r="E3011" s="5" t="s">
        <v>83</v>
      </c>
      <c r="F3011" s="9">
        <v>28</v>
      </c>
      <c r="G3011" s="9">
        <v>304</v>
      </c>
      <c r="H3011" s="5" t="s">
        <v>21</v>
      </c>
      <c r="I3011" s="5" t="s">
        <v>7583</v>
      </c>
      <c r="J3011" s="12" t="str">
        <f>HYPERLINK("https://www.boe.es/gazeta/dias/1803/04/08/pdfs/GMD-1803-28.pdf#page=8","Abrir facsímil")</f>
        <v>Abrir facsímil</v>
      </c>
      <c r="K3011" s="15" t="s">
        <v>23</v>
      </c>
    </row>
    <row r="3012" spans="1:11" ht="42" customHeight="1">
      <c r="A3012" s="4" t="s">
        <v>7584</v>
      </c>
      <c r="B3012" s="5" t="s">
        <v>7585</v>
      </c>
      <c r="C3012" s="5" t="s">
        <v>51</v>
      </c>
      <c r="D3012" s="5" t="s">
        <v>52</v>
      </c>
      <c r="E3012" s="5" t="s">
        <v>272</v>
      </c>
      <c r="F3012" s="9">
        <v>25</v>
      </c>
      <c r="G3012" s="9">
        <v>266</v>
      </c>
      <c r="H3012" s="5" t="s">
        <v>21</v>
      </c>
      <c r="I3012" s="5" t="s">
        <v>7586</v>
      </c>
      <c r="J3012" s="12" t="str">
        <f>HYPERLINK("https://www.boe.es/gazeta/dias/1803/03/29/pdfs/GMD-1803-25.pdf#page=6","Abrir facsímil")</f>
        <v>Abrir facsímil</v>
      </c>
      <c r="K3012" s="15" t="s">
        <v>23</v>
      </c>
    </row>
    <row r="3013" spans="1:11" ht="42" customHeight="1">
      <c r="A3013" s="4" t="s">
        <v>7587</v>
      </c>
      <c r="B3013" s="5" t="s">
        <v>7588</v>
      </c>
      <c r="C3013" s="5" t="s">
        <v>51</v>
      </c>
      <c r="D3013" s="5" t="s">
        <v>52</v>
      </c>
      <c r="E3013" s="5" t="s">
        <v>285</v>
      </c>
      <c r="F3013" s="9">
        <v>5</v>
      </c>
      <c r="G3013" s="9">
        <v>47</v>
      </c>
      <c r="H3013" s="5" t="s">
        <v>21</v>
      </c>
      <c r="I3013" s="5" t="s">
        <v>7589</v>
      </c>
      <c r="J3013" s="12" t="str">
        <f>HYPERLINK("https://www.boe.es/gazeta/dias/1803/01/18/pdfs/GMD-1803-5.pdf#page=11","Abrir facsímil")</f>
        <v>Abrir facsímil</v>
      </c>
      <c r="K3013" s="15" t="s">
        <v>23</v>
      </c>
    </row>
    <row r="3014" spans="1:11" ht="42" customHeight="1">
      <c r="A3014" s="4" t="s">
        <v>7590</v>
      </c>
      <c r="B3014" s="5" t="s">
        <v>7591</v>
      </c>
      <c r="C3014" s="5" t="s">
        <v>26</v>
      </c>
      <c r="D3014" s="5" t="s">
        <v>27</v>
      </c>
      <c r="E3014" s="5" t="s">
        <v>61</v>
      </c>
      <c r="F3014" s="9">
        <v>67</v>
      </c>
      <c r="G3014" s="9">
        <v>729</v>
      </c>
      <c r="H3014" s="5" t="s">
        <v>21</v>
      </c>
      <c r="I3014" s="5" t="s">
        <v>7592</v>
      </c>
      <c r="J3014" s="12" t="str">
        <f>HYPERLINK("https://www.boe.es/gazeta/dias/1803/08/23/pdfs/GMD-1803-67.pdf#page=9","Abrir facsímil")</f>
        <v>Abrir facsímil</v>
      </c>
      <c r="K3014" s="15" t="s">
        <v>23</v>
      </c>
    </row>
    <row r="3015" spans="1:11" ht="42" customHeight="1">
      <c r="A3015" s="4" t="s">
        <v>7593</v>
      </c>
      <c r="B3015" s="5" t="s">
        <v>7594</v>
      </c>
      <c r="C3015" s="5" t="s">
        <v>26</v>
      </c>
      <c r="D3015" s="5" t="s">
        <v>27</v>
      </c>
      <c r="E3015" s="5" t="s">
        <v>28</v>
      </c>
      <c r="F3015" s="9">
        <v>92</v>
      </c>
      <c r="G3015" s="9">
        <v>986</v>
      </c>
      <c r="H3015" s="5" t="s">
        <v>21</v>
      </c>
      <c r="I3015" s="5" t="s">
        <v>7595</v>
      </c>
      <c r="J3015" s="12" t="str">
        <f>HYPERLINK("https://www.boe.es/gazeta/dias/1803/11/15/pdfs/GMD-1803-92.pdf#page=6","Abrir facsímil")</f>
        <v>Abrir facsímil</v>
      </c>
      <c r="K3015" s="15" t="s">
        <v>23</v>
      </c>
    </row>
    <row r="3016" spans="1:11" ht="42" customHeight="1">
      <c r="A3016" s="4" t="s">
        <v>7596</v>
      </c>
      <c r="B3016" s="5" t="s">
        <v>7597</v>
      </c>
      <c r="C3016" s="5" t="s">
        <v>26</v>
      </c>
      <c r="D3016" s="5" t="s">
        <v>27</v>
      </c>
      <c r="E3016" s="5" t="s">
        <v>191</v>
      </c>
      <c r="F3016" s="9">
        <v>34</v>
      </c>
      <c r="G3016" s="9">
        <v>358</v>
      </c>
      <c r="H3016" s="5" t="s">
        <v>21</v>
      </c>
      <c r="I3016" s="5" t="s">
        <v>7598</v>
      </c>
      <c r="J3016" s="12" t="str">
        <f>HYPERLINK("https://www.boe.es/gazeta/dias/1803/04/29/pdfs/GMD-1803-34.pdf#page=6","Abrir facsímil")</f>
        <v>Abrir facsímil</v>
      </c>
      <c r="K3016" s="15" t="s">
        <v>23</v>
      </c>
    </row>
    <row r="3017" spans="1:11" ht="42" customHeight="1">
      <c r="A3017" s="4" t="s">
        <v>7599</v>
      </c>
      <c r="B3017" s="5" t="s">
        <v>7600</v>
      </c>
      <c r="C3017" s="5" t="s">
        <v>26</v>
      </c>
      <c r="D3017" s="5" t="s">
        <v>27</v>
      </c>
      <c r="E3017" s="5" t="s">
        <v>399</v>
      </c>
      <c r="F3017" s="9">
        <v>95</v>
      </c>
      <c r="G3017" s="9">
        <v>1018</v>
      </c>
      <c r="H3017" s="5" t="s">
        <v>21</v>
      </c>
      <c r="I3017" s="5" t="s">
        <v>7601</v>
      </c>
      <c r="J3017" s="12" t="str">
        <f>HYPERLINK("https://www.boe.es/gazeta/dias/1803/11/25/pdfs/GMD-1803-95.pdf#page=6","Abrir facsímil")</f>
        <v>Abrir facsímil</v>
      </c>
      <c r="K3017" s="15" t="s">
        <v>23</v>
      </c>
    </row>
    <row r="3018" spans="1:11" ht="42" customHeight="1">
      <c r="A3018" s="4" t="s">
        <v>7602</v>
      </c>
      <c r="B3018" s="5" t="s">
        <v>7603</v>
      </c>
      <c r="C3018" s="5" t="s">
        <v>80</v>
      </c>
      <c r="D3018" s="5" t="s">
        <v>81</v>
      </c>
      <c r="E3018" s="5" t="s">
        <v>493</v>
      </c>
      <c r="F3018" s="9">
        <v>104</v>
      </c>
      <c r="G3018" s="9">
        <v>1116</v>
      </c>
      <c r="H3018" s="5" t="s">
        <v>21</v>
      </c>
      <c r="I3018" s="5" t="s">
        <v>7604</v>
      </c>
      <c r="J3018" s="12" t="str">
        <f>HYPERLINK("https://www.boe.es/gazeta/dias/1803/12/27/pdfs/GMD-1803-104.pdf#page=8","Abrir facsímil")</f>
        <v>Abrir facsímil</v>
      </c>
      <c r="K3018" s="15" t="s">
        <v>23</v>
      </c>
    </row>
    <row r="3019" spans="1:11" ht="42" customHeight="1">
      <c r="A3019" s="4" t="s">
        <v>7605</v>
      </c>
      <c r="B3019" s="5" t="s">
        <v>7606</v>
      </c>
      <c r="C3019" s="5" t="s">
        <v>46</v>
      </c>
      <c r="D3019" s="5" t="s">
        <v>19</v>
      </c>
      <c r="E3019" s="5" t="s">
        <v>109</v>
      </c>
      <c r="F3019" s="9">
        <v>102</v>
      </c>
      <c r="G3019" s="9">
        <v>1100</v>
      </c>
      <c r="H3019" s="5" t="s">
        <v>21</v>
      </c>
      <c r="I3019" s="5" t="s">
        <v>7607</v>
      </c>
      <c r="J3019" s="12" t="str">
        <f>HYPERLINK("https://www.boe.es/gazeta/dias/1803/12/20/pdfs/GMD-1803-102.pdf#page=12","Abrir facsímil")</f>
        <v>Abrir facsímil</v>
      </c>
      <c r="K3019" s="15" t="s">
        <v>23</v>
      </c>
    </row>
    <row r="3020" spans="1:11" ht="42" customHeight="1">
      <c r="A3020" s="4" t="s">
        <v>7608</v>
      </c>
      <c r="B3020" s="5" t="s">
        <v>7609</v>
      </c>
      <c r="C3020" s="5" t="s">
        <v>51</v>
      </c>
      <c r="D3020" s="5" t="s">
        <v>52</v>
      </c>
      <c r="E3020" s="5" t="s">
        <v>303</v>
      </c>
      <c r="F3020" s="9">
        <v>8</v>
      </c>
      <c r="G3020" s="9">
        <v>79</v>
      </c>
      <c r="H3020" s="5" t="s">
        <v>21</v>
      </c>
      <c r="I3020" s="5" t="s">
        <v>7610</v>
      </c>
      <c r="J3020" s="12" t="str">
        <f>HYPERLINK("https://www.boe.es/gazeta/dias/1803/01/28/pdfs/GMD-1803-8.pdf#page=7","Abrir facsímil")</f>
        <v>Abrir facsímil</v>
      </c>
      <c r="K3020" s="15" t="s">
        <v>23</v>
      </c>
    </row>
    <row r="3021" spans="1:11" ht="42" customHeight="1">
      <c r="A3021" s="4" t="s">
        <v>7611</v>
      </c>
      <c r="B3021" s="5" t="s">
        <v>7612</v>
      </c>
      <c r="C3021" s="5" t="s">
        <v>80</v>
      </c>
      <c r="D3021" s="5" t="s">
        <v>81</v>
      </c>
      <c r="E3021" s="5" t="s">
        <v>477</v>
      </c>
      <c r="F3021" s="9">
        <v>48</v>
      </c>
      <c r="G3021" s="9">
        <v>511</v>
      </c>
      <c r="H3021" s="5" t="s">
        <v>21</v>
      </c>
      <c r="I3021" s="5" t="s">
        <v>7613</v>
      </c>
      <c r="J3021" s="12" t="str">
        <f>HYPERLINK("https://www.boe.es/gazeta/dias/1803/06/17/pdfs/GMD-1803-48.pdf#page=11","Abrir facsímil")</f>
        <v>Abrir facsímil</v>
      </c>
      <c r="K3021" s="15" t="s">
        <v>23</v>
      </c>
    </row>
    <row r="3022" spans="1:11" ht="42" customHeight="1">
      <c r="A3022" s="4" t="s">
        <v>7614</v>
      </c>
      <c r="B3022" s="5" t="s">
        <v>7615</v>
      </c>
      <c r="C3022" s="5" t="s">
        <v>26</v>
      </c>
      <c r="D3022" s="5" t="s">
        <v>27</v>
      </c>
      <c r="E3022" s="5" t="s">
        <v>199</v>
      </c>
      <c r="F3022" s="9">
        <v>88</v>
      </c>
      <c r="G3022" s="9">
        <v>947</v>
      </c>
      <c r="H3022" s="5" t="s">
        <v>21</v>
      </c>
      <c r="I3022" s="5" t="s">
        <v>7616</v>
      </c>
      <c r="J3022" s="12" t="str">
        <f>HYPERLINK("https://www.boe.es/gazeta/dias/1803/11/01/pdfs/GMD-1803-88.pdf#page=7","Abrir facsímil")</f>
        <v>Abrir facsímil</v>
      </c>
      <c r="K3022" s="15" t="s">
        <v>23</v>
      </c>
    </row>
    <row r="3023" spans="1:11" ht="42" customHeight="1">
      <c r="A3023" s="4" t="s">
        <v>7617</v>
      </c>
      <c r="B3023" s="5" t="s">
        <v>7618</v>
      </c>
      <c r="C3023" s="5" t="s">
        <v>26</v>
      </c>
      <c r="D3023" s="5" t="s">
        <v>27</v>
      </c>
      <c r="E3023" s="5" t="s">
        <v>289</v>
      </c>
      <c r="F3023" s="9">
        <v>38</v>
      </c>
      <c r="G3023" s="9">
        <v>401</v>
      </c>
      <c r="H3023" s="5" t="s">
        <v>21</v>
      </c>
      <c r="I3023" s="5" t="s">
        <v>7619</v>
      </c>
      <c r="J3023" s="12" t="str">
        <f>HYPERLINK("https://www.boe.es/gazeta/dias/1803/05/13/pdfs/GMD-1803-38.pdf#page=9","Abrir facsímil")</f>
        <v>Abrir facsímil</v>
      </c>
      <c r="K3023" s="15" t="s">
        <v>23</v>
      </c>
    </row>
    <row r="3024" spans="1:11" ht="42" customHeight="1">
      <c r="A3024" s="4" t="s">
        <v>7620</v>
      </c>
      <c r="B3024" s="5" t="s">
        <v>7621</v>
      </c>
      <c r="C3024" s="5" t="s">
        <v>18</v>
      </c>
      <c r="D3024" s="5" t="s">
        <v>19</v>
      </c>
      <c r="E3024" s="5" t="s">
        <v>64</v>
      </c>
      <c r="F3024" s="9">
        <v>65</v>
      </c>
      <c r="G3024" s="9">
        <v>711</v>
      </c>
      <c r="H3024" s="5" t="s">
        <v>21</v>
      </c>
      <c r="I3024" s="5" t="s">
        <v>7622</v>
      </c>
      <c r="J3024" s="12" t="str">
        <f>HYPERLINK("https://www.boe.es/gazeta/dias/1803/08/16/pdfs/GMD-1803-65.pdf#page=11","Abrir facsímil")</f>
        <v>Abrir facsímil</v>
      </c>
      <c r="K3024" s="15" t="s">
        <v>23</v>
      </c>
    </row>
    <row r="3025" spans="1:11" ht="42" customHeight="1">
      <c r="A3025" s="4" t="s">
        <v>7623</v>
      </c>
      <c r="B3025" s="5" t="s">
        <v>7624</v>
      </c>
      <c r="C3025" s="5" t="s">
        <v>26</v>
      </c>
      <c r="D3025" s="5" t="s">
        <v>27</v>
      </c>
      <c r="E3025" s="5" t="s">
        <v>250</v>
      </c>
      <c r="F3025" s="9">
        <v>4</v>
      </c>
      <c r="G3025" s="9">
        <v>35</v>
      </c>
      <c r="H3025" s="5" t="s">
        <v>21</v>
      </c>
      <c r="I3025" s="5" t="s">
        <v>7625</v>
      </c>
      <c r="J3025" s="12" t="str">
        <f>HYPERLINK("https://www.boe.es/gazeta/dias/1803/01/14/pdfs/GMD-1803-4.pdf#page=7","Abrir facsímil")</f>
        <v>Abrir facsímil</v>
      </c>
      <c r="K3025" s="15" t="s">
        <v>23</v>
      </c>
    </row>
    <row r="3026" spans="1:11" ht="42" customHeight="1">
      <c r="A3026" s="4" t="s">
        <v>7623</v>
      </c>
      <c r="B3026" s="5" t="s">
        <v>7624</v>
      </c>
      <c r="C3026" s="5" t="s">
        <v>26</v>
      </c>
      <c r="D3026" s="5" t="s">
        <v>27</v>
      </c>
      <c r="E3026" s="5" t="s">
        <v>289</v>
      </c>
      <c r="F3026" s="9">
        <v>38</v>
      </c>
      <c r="G3026" s="9">
        <v>401</v>
      </c>
      <c r="H3026" s="5" t="s">
        <v>21</v>
      </c>
      <c r="I3026" s="5" t="s">
        <v>7626</v>
      </c>
      <c r="J3026" s="12" t="str">
        <f>HYPERLINK("https://www.boe.es/gazeta/dias/1803/05/13/pdfs/GMD-1803-38.pdf#page=9","Abrir facsímil")</f>
        <v>Abrir facsímil</v>
      </c>
      <c r="K3026" s="15" t="s">
        <v>23</v>
      </c>
    </row>
    <row r="3027" spans="1:11" ht="42" customHeight="1">
      <c r="A3027" s="4" t="s">
        <v>7627</v>
      </c>
      <c r="B3027" s="5" t="s">
        <v>7628</v>
      </c>
      <c r="C3027" s="5" t="s">
        <v>26</v>
      </c>
      <c r="D3027" s="5" t="s">
        <v>27</v>
      </c>
      <c r="E3027" s="5" t="s">
        <v>207</v>
      </c>
      <c r="F3027" s="9">
        <v>27</v>
      </c>
      <c r="G3027" s="9">
        <v>292</v>
      </c>
      <c r="H3027" s="5" t="s">
        <v>21</v>
      </c>
      <c r="I3027" s="5" t="s">
        <v>7629</v>
      </c>
      <c r="J3027" s="12" t="str">
        <f>HYPERLINK("https://www.boe.es/gazeta/dias/1803/04/05/pdfs/GMD-1803-27.pdf#page=8","Abrir facsímil")</f>
        <v>Abrir facsímil</v>
      </c>
      <c r="K3027" s="15" t="s">
        <v>23</v>
      </c>
    </row>
    <row r="3028" spans="1:11" ht="42" customHeight="1">
      <c r="A3028" s="4" t="s">
        <v>7630</v>
      </c>
      <c r="B3028" s="5" t="s">
        <v>7631</v>
      </c>
      <c r="C3028" s="5" t="s">
        <v>18</v>
      </c>
      <c r="D3028" s="5" t="s">
        <v>19</v>
      </c>
      <c r="E3028" s="5" t="s">
        <v>919</v>
      </c>
      <c r="F3028" s="9">
        <v>69</v>
      </c>
      <c r="G3028" s="9">
        <v>751</v>
      </c>
      <c r="H3028" s="5" t="s">
        <v>21</v>
      </c>
      <c r="I3028" s="5" t="s">
        <v>7632</v>
      </c>
      <c r="J3028" s="12" t="str">
        <f>HYPERLINK("https://www.boe.es/gazeta/dias/1803/08/30/pdfs/GMD-1803-69.pdf#page=7","Abrir facsímil")</f>
        <v>Abrir facsímil</v>
      </c>
      <c r="K3028" s="15" t="s">
        <v>23</v>
      </c>
    </row>
    <row r="3029" spans="1:11" ht="42" customHeight="1">
      <c r="A3029" s="4" t="s">
        <v>7633</v>
      </c>
      <c r="B3029" s="5" t="s">
        <v>7634</v>
      </c>
      <c r="C3029" s="5" t="s">
        <v>46</v>
      </c>
      <c r="D3029" s="5" t="s">
        <v>19</v>
      </c>
      <c r="E3029" s="5" t="s">
        <v>207</v>
      </c>
      <c r="F3029" s="9">
        <v>27</v>
      </c>
      <c r="G3029" s="9">
        <v>294</v>
      </c>
      <c r="H3029" s="5" t="s">
        <v>21</v>
      </c>
      <c r="I3029" s="5" t="s">
        <v>7635</v>
      </c>
      <c r="J3029" s="12" t="str">
        <f>HYPERLINK("https://www.boe.es/gazeta/dias/1803/04/05/pdfs/GMD-1803-27.pdf#page=10","Abrir facsímil")</f>
        <v>Abrir facsímil</v>
      </c>
      <c r="K3029" s="15" t="s">
        <v>23</v>
      </c>
    </row>
    <row r="3030" spans="1:11" ht="42" customHeight="1">
      <c r="A3030" s="4" t="s">
        <v>7633</v>
      </c>
      <c r="B3030" s="5" t="s">
        <v>7634</v>
      </c>
      <c r="C3030" s="5" t="s">
        <v>46</v>
      </c>
      <c r="D3030" s="5" t="s">
        <v>19</v>
      </c>
      <c r="E3030" s="5" t="s">
        <v>77</v>
      </c>
      <c r="F3030" s="9">
        <v>64</v>
      </c>
      <c r="G3030" s="9">
        <v>700</v>
      </c>
      <c r="H3030" s="5" t="s">
        <v>21</v>
      </c>
      <c r="I3030" s="5" t="s">
        <v>7636</v>
      </c>
      <c r="J3030" s="12" t="str">
        <f>HYPERLINK("https://www.boe.es/gazeta/dias/1803/08/12/pdfs/GMD-1803-64.pdf#page=8","Abrir facsímil")</f>
        <v>Abrir facsímil</v>
      </c>
      <c r="K3030" s="15" t="s">
        <v>23</v>
      </c>
    </row>
    <row r="3031" spans="1:11" ht="42" customHeight="1">
      <c r="A3031" s="4" t="s">
        <v>7637</v>
      </c>
      <c r="B3031" s="5" t="s">
        <v>7638</v>
      </c>
      <c r="C3031" s="5" t="s">
        <v>26</v>
      </c>
      <c r="D3031" s="5" t="s">
        <v>27</v>
      </c>
      <c r="E3031" s="5" t="s">
        <v>20</v>
      </c>
      <c r="F3031" s="9">
        <v>97</v>
      </c>
      <c r="G3031" s="9">
        <v>1042</v>
      </c>
      <c r="H3031" s="5" t="s">
        <v>21</v>
      </c>
      <c r="I3031" s="5" t="s">
        <v>7639</v>
      </c>
      <c r="J3031" s="12" t="str">
        <f>HYPERLINK("https://www.boe.es/gazeta/dias/1803/12/02/pdfs/GMD-1803-97.pdf#page=6","Abrir facsímil")</f>
        <v>Abrir facsímil</v>
      </c>
      <c r="K3031" s="15" t="s">
        <v>23</v>
      </c>
    </row>
    <row r="3032" spans="1:11" ht="42" customHeight="1">
      <c r="A3032" s="4" t="s">
        <v>7640</v>
      </c>
      <c r="B3032" s="5" t="s">
        <v>7641</v>
      </c>
      <c r="C3032" s="5" t="s">
        <v>26</v>
      </c>
      <c r="D3032" s="5" t="s">
        <v>27</v>
      </c>
      <c r="E3032" s="5" t="s">
        <v>328</v>
      </c>
      <c r="F3032" s="9">
        <v>54</v>
      </c>
      <c r="G3032" s="9">
        <v>590</v>
      </c>
      <c r="H3032" s="5" t="s">
        <v>21</v>
      </c>
      <c r="I3032" s="5" t="s">
        <v>7642</v>
      </c>
      <c r="J3032" s="12" t="str">
        <f>HYPERLINK("https://www.boe.es/gazeta/dias/1803/07/08/pdfs/GMD-1803-54.pdf#page=10","Abrir facsímil")</f>
        <v>Abrir facsímil</v>
      </c>
      <c r="K3032" s="15" t="s">
        <v>23</v>
      </c>
    </row>
    <row r="3033" spans="1:11" ht="42" customHeight="1">
      <c r="A3033" s="4" t="s">
        <v>7643</v>
      </c>
      <c r="B3033" s="5" t="s">
        <v>7644</v>
      </c>
      <c r="C3033" s="5" t="s">
        <v>46</v>
      </c>
      <c r="D3033" s="5" t="s">
        <v>19</v>
      </c>
      <c r="E3033" s="5" t="s">
        <v>910</v>
      </c>
      <c r="F3033" s="9">
        <v>66</v>
      </c>
      <c r="G3033" s="9">
        <v>719</v>
      </c>
      <c r="H3033" s="5" t="s">
        <v>21</v>
      </c>
      <c r="I3033" s="5" t="s">
        <v>7645</v>
      </c>
      <c r="J3033" s="12" t="str">
        <f>HYPERLINK("https://www.boe.es/gazeta/dias/1803/08/19/pdfs/GMD-1803-66.pdf#page=7","Abrir facsímil")</f>
        <v>Abrir facsímil</v>
      </c>
      <c r="K3033" s="15" t="s">
        <v>23</v>
      </c>
    </row>
    <row r="3034" spans="1:11" ht="42" customHeight="1">
      <c r="A3034" s="4" t="s">
        <v>7646</v>
      </c>
      <c r="B3034" s="5" t="s">
        <v>7647</v>
      </c>
      <c r="C3034" s="5" t="s">
        <v>46</v>
      </c>
      <c r="D3034" s="5" t="s">
        <v>19</v>
      </c>
      <c r="E3034" s="5" t="s">
        <v>148</v>
      </c>
      <c r="F3034" s="9">
        <v>15</v>
      </c>
      <c r="G3034" s="9">
        <v>157</v>
      </c>
      <c r="H3034" s="5" t="s">
        <v>21</v>
      </c>
      <c r="I3034" s="5" t="s">
        <v>7648</v>
      </c>
      <c r="J3034" s="12" t="str">
        <f>HYPERLINK("https://www.boe.es/gazeta/dias/1803/02/22/pdfs/GMD-1803-15.pdf#page=9","Abrir facsímil")</f>
        <v>Abrir facsímil</v>
      </c>
      <c r="K3034" s="15" t="s">
        <v>23</v>
      </c>
    </row>
    <row r="3035" spans="1:11" ht="42" customHeight="1">
      <c r="A3035" s="4" t="s">
        <v>7646</v>
      </c>
      <c r="B3035" s="5" t="s">
        <v>7647</v>
      </c>
      <c r="C3035" s="5" t="s">
        <v>51</v>
      </c>
      <c r="D3035" s="5" t="s">
        <v>52</v>
      </c>
      <c r="E3035" s="5" t="s">
        <v>501</v>
      </c>
      <c r="F3035" s="9">
        <v>22</v>
      </c>
      <c r="G3035" s="9">
        <v>239</v>
      </c>
      <c r="H3035" s="5" t="s">
        <v>21</v>
      </c>
      <c r="I3035" s="5" t="s">
        <v>7649</v>
      </c>
      <c r="J3035" s="12" t="str">
        <f>HYPERLINK("https://www.boe.es/gazeta/dias/1803/03/18/pdfs/GMD-1803-22.pdf#page=11","Abrir facsímil")</f>
        <v>Abrir facsímil</v>
      </c>
      <c r="K3035" s="15" t="s">
        <v>23</v>
      </c>
    </row>
    <row r="3036" spans="1:11" ht="42" customHeight="1">
      <c r="A3036" s="4" t="s">
        <v>7650</v>
      </c>
      <c r="B3036" s="5" t="s">
        <v>7651</v>
      </c>
      <c r="C3036" s="5" t="s">
        <v>26</v>
      </c>
      <c r="D3036" s="5" t="s">
        <v>27</v>
      </c>
      <c r="E3036" s="5" t="s">
        <v>523</v>
      </c>
      <c r="F3036" s="9">
        <v>101</v>
      </c>
      <c r="G3036" s="9">
        <v>1087</v>
      </c>
      <c r="H3036" s="5" t="s">
        <v>21</v>
      </c>
      <c r="I3036" s="5" t="s">
        <v>7652</v>
      </c>
      <c r="J3036" s="12" t="str">
        <f>HYPERLINK("https://www.boe.es/gazeta/dias/1803/12/16/pdfs/GMD-1803-101.pdf#page=11","Abrir facsímil")</f>
        <v>Abrir facsímil</v>
      </c>
      <c r="K3036" s="15" t="s">
        <v>23</v>
      </c>
    </row>
    <row r="3037" spans="1:11" ht="42" customHeight="1">
      <c r="A3037" s="4" t="s">
        <v>7653</v>
      </c>
      <c r="B3037" s="5" t="s">
        <v>7653</v>
      </c>
      <c r="C3037" s="5" t="s">
        <v>26</v>
      </c>
      <c r="D3037" s="5" t="s">
        <v>27</v>
      </c>
      <c r="E3037" s="5" t="s">
        <v>519</v>
      </c>
      <c r="F3037" s="9">
        <v>50</v>
      </c>
      <c r="G3037" s="9">
        <v>541</v>
      </c>
      <c r="H3037" s="5" t="s">
        <v>21</v>
      </c>
      <c r="I3037" s="5" t="s">
        <v>7654</v>
      </c>
      <c r="J3037" s="12" t="str">
        <f>HYPERLINK("https://www.boe.es/gazeta/dias/1803/06/24/pdfs/GMD-1803-50.pdf#page=9","Abrir facsímil")</f>
        <v>Abrir facsímil</v>
      </c>
      <c r="K3037" s="15" t="s">
        <v>23</v>
      </c>
    </row>
    <row r="3038" spans="1:11" ht="42" customHeight="1">
      <c r="A3038" s="4" t="s">
        <v>7655</v>
      </c>
      <c r="B3038" s="5" t="s">
        <v>7656</v>
      </c>
      <c r="C3038" s="5" t="s">
        <v>26</v>
      </c>
      <c r="D3038" s="5" t="s">
        <v>27</v>
      </c>
      <c r="E3038" s="5" t="s">
        <v>501</v>
      </c>
      <c r="F3038" s="9">
        <v>22</v>
      </c>
      <c r="G3038" s="9">
        <v>237</v>
      </c>
      <c r="H3038" s="5" t="s">
        <v>21</v>
      </c>
      <c r="I3038" s="5" t="s">
        <v>7657</v>
      </c>
      <c r="J3038" s="12" t="str">
        <f>HYPERLINK("https://www.boe.es/gazeta/dias/1803/03/18/pdfs/GMD-1803-22.pdf#page=9","Abrir facsímil")</f>
        <v>Abrir facsímil</v>
      </c>
      <c r="K3038" s="15" t="s">
        <v>23</v>
      </c>
    </row>
    <row r="3039" spans="1:11" ht="42" customHeight="1">
      <c r="A3039" s="4" t="s">
        <v>7658</v>
      </c>
      <c r="B3039" s="5" t="s">
        <v>7659</v>
      </c>
      <c r="C3039" s="5" t="s">
        <v>46</v>
      </c>
      <c r="D3039" s="5" t="s">
        <v>19</v>
      </c>
      <c r="E3039" s="5" t="s">
        <v>407</v>
      </c>
      <c r="F3039" s="9">
        <v>82</v>
      </c>
      <c r="G3039" s="9">
        <v>886</v>
      </c>
      <c r="H3039" s="5" t="s">
        <v>21</v>
      </c>
      <c r="I3039" s="5" t="s">
        <v>7660</v>
      </c>
      <c r="J3039" s="12" t="str">
        <f>HYPERLINK("https://www.boe.es/gazeta/dias/1803/10/11/pdfs/GMD-1803-82.pdf#page=10","Abrir facsímil")</f>
        <v>Abrir facsímil</v>
      </c>
      <c r="K3039" s="15" t="s">
        <v>23</v>
      </c>
    </row>
    <row r="3040" spans="1:11" ht="42" customHeight="1">
      <c r="A3040" s="4" t="s">
        <v>7661</v>
      </c>
      <c r="B3040" s="5" t="s">
        <v>7662</v>
      </c>
      <c r="C3040" s="5" t="s">
        <v>18</v>
      </c>
      <c r="D3040" s="5" t="s">
        <v>19</v>
      </c>
      <c r="E3040" s="5" t="s">
        <v>340</v>
      </c>
      <c r="F3040" s="9">
        <v>55</v>
      </c>
      <c r="G3040" s="9">
        <v>602</v>
      </c>
      <c r="H3040" s="5" t="s">
        <v>21</v>
      </c>
      <c r="I3040" s="5" t="s">
        <v>7663</v>
      </c>
      <c r="J3040" s="12" t="str">
        <f>HYPERLINK("https://www.boe.es/gazeta/dias/1803/07/12/pdfs/GMD-1803-55.pdf#page=10","Abrir facsímil")</f>
        <v>Abrir facsímil</v>
      </c>
      <c r="K3040" s="15" t="s">
        <v>23</v>
      </c>
    </row>
    <row r="3041" spans="1:11" ht="42" customHeight="1">
      <c r="A3041" s="4" t="s">
        <v>7664</v>
      </c>
      <c r="B3041" s="5" t="s">
        <v>7665</v>
      </c>
      <c r="C3041" s="5" t="s">
        <v>18</v>
      </c>
      <c r="D3041" s="5" t="s">
        <v>19</v>
      </c>
      <c r="E3041" s="5" t="s">
        <v>373</v>
      </c>
      <c r="F3041" s="9">
        <v>77</v>
      </c>
      <c r="G3041" s="9">
        <v>833</v>
      </c>
      <c r="H3041" s="5" t="s">
        <v>21</v>
      </c>
      <c r="I3041" s="5" t="s">
        <v>7666</v>
      </c>
      <c r="J3041" s="12" t="str">
        <f>HYPERLINK("https://www.boe.es/gazeta/dias/1803/09/23/pdfs/GMD-1803-77.pdf#page=9","Abrir facsímil")</f>
        <v>Abrir facsímil</v>
      </c>
      <c r="K3041" s="15" t="s">
        <v>23</v>
      </c>
    </row>
    <row r="3042" spans="1:11" ht="42" customHeight="1">
      <c r="A3042" s="4" t="s">
        <v>7664</v>
      </c>
      <c r="B3042" s="5" t="s">
        <v>7665</v>
      </c>
      <c r="C3042" s="5" t="s">
        <v>40</v>
      </c>
      <c r="D3042" s="5" t="s">
        <v>41</v>
      </c>
      <c r="E3042" s="5" t="s">
        <v>399</v>
      </c>
      <c r="F3042" s="9">
        <v>95</v>
      </c>
      <c r="G3042" s="9">
        <v>1017</v>
      </c>
      <c r="H3042" s="5" t="s">
        <v>21</v>
      </c>
      <c r="I3042" s="5" t="s">
        <v>7667</v>
      </c>
      <c r="J3042" s="12" t="str">
        <f>HYPERLINK("https://www.boe.es/gazeta/dias/1803/11/25/pdfs/GMD-1803-95.pdf#page=5","Abrir facsímil")</f>
        <v>Abrir facsímil</v>
      </c>
      <c r="K3042" s="15" t="s">
        <v>23</v>
      </c>
    </row>
    <row r="3043" spans="1:11" ht="42" customHeight="1">
      <c r="A3043" s="4" t="s">
        <v>7668</v>
      </c>
      <c r="B3043" s="5" t="s">
        <v>7669</v>
      </c>
      <c r="C3043" s="5" t="s">
        <v>18</v>
      </c>
      <c r="D3043" s="5" t="s">
        <v>19</v>
      </c>
      <c r="E3043" s="5" t="s">
        <v>399</v>
      </c>
      <c r="F3043" s="9">
        <v>95</v>
      </c>
      <c r="G3043" s="9">
        <v>1017</v>
      </c>
      <c r="H3043" s="5" t="s">
        <v>21</v>
      </c>
      <c r="I3043" s="5" t="s">
        <v>7670</v>
      </c>
      <c r="J3043" s="12" t="str">
        <f>HYPERLINK("https://www.boe.es/gazeta/dias/1803/11/25/pdfs/GMD-1803-95.pdf#page=5","Abrir facsímil")</f>
        <v>Abrir facsímil</v>
      </c>
      <c r="K3043" s="15" t="s">
        <v>23</v>
      </c>
    </row>
    <row r="3044" spans="1:11" ht="42" customHeight="1">
      <c r="A3044" s="4" t="s">
        <v>7671</v>
      </c>
      <c r="B3044" s="5" t="s">
        <v>7672</v>
      </c>
      <c r="C3044" s="5" t="s">
        <v>80</v>
      </c>
      <c r="D3044" s="5" t="s">
        <v>81</v>
      </c>
      <c r="E3044" s="5" t="s">
        <v>300</v>
      </c>
      <c r="F3044" s="9">
        <v>96</v>
      </c>
      <c r="G3044" s="9">
        <v>1036</v>
      </c>
      <c r="H3044" s="5" t="s">
        <v>21</v>
      </c>
      <c r="I3044" s="5" t="s">
        <v>7673</v>
      </c>
      <c r="J3044" s="12" t="str">
        <f>HYPERLINK("https://www.boe.es/gazeta/dias/1803/11/29/pdfs/GMD-1803-96.pdf#page=12","Abrir facsímil")</f>
        <v>Abrir facsímil</v>
      </c>
      <c r="K3044" s="15" t="s">
        <v>23</v>
      </c>
    </row>
    <row r="3045" spans="1:11" ht="42" customHeight="1">
      <c r="A3045" s="4" t="s">
        <v>7674</v>
      </c>
      <c r="B3045" s="5" t="s">
        <v>7675</v>
      </c>
      <c r="C3045" s="5" t="s">
        <v>18</v>
      </c>
      <c r="D3045" s="5" t="s">
        <v>19</v>
      </c>
      <c r="E3045" s="5" t="s">
        <v>75</v>
      </c>
      <c r="F3045" s="9">
        <v>56</v>
      </c>
      <c r="G3045" s="9">
        <v>611</v>
      </c>
      <c r="H3045" s="5" t="s">
        <v>21</v>
      </c>
      <c r="I3045" s="5" t="s">
        <v>7676</v>
      </c>
      <c r="J3045" s="12" t="str">
        <f>HYPERLINK("https://www.boe.es/gazeta/dias/1803/07/15/pdfs/GMD-1803-56.pdf#page=7","Abrir facsímil")</f>
        <v>Abrir facsímil</v>
      </c>
      <c r="K3045" s="15" t="s">
        <v>23</v>
      </c>
    </row>
    <row r="3046" spans="1:11" ht="42" customHeight="1">
      <c r="A3046" s="4" t="s">
        <v>7677</v>
      </c>
      <c r="B3046" s="5" t="s">
        <v>7678</v>
      </c>
      <c r="C3046" s="5" t="s">
        <v>26</v>
      </c>
      <c r="D3046" s="5" t="s">
        <v>27</v>
      </c>
      <c r="E3046" s="5" t="s">
        <v>211</v>
      </c>
      <c r="F3046" s="9">
        <v>71</v>
      </c>
      <c r="G3046" s="9">
        <v>777</v>
      </c>
      <c r="H3046" s="5" t="s">
        <v>21</v>
      </c>
      <c r="I3046" s="5" t="s">
        <v>7679</v>
      </c>
      <c r="J3046" s="12" t="str">
        <f>HYPERLINK("https://www.boe.es/gazeta/dias/1803/09/06/pdfs/GMD-1803-71.pdf#page=9","Abrir facsímil")</f>
        <v>Abrir facsímil</v>
      </c>
      <c r="K3046" s="15" t="s">
        <v>23</v>
      </c>
    </row>
    <row r="3047" spans="1:11" ht="42" customHeight="1">
      <c r="A3047" s="4" t="s">
        <v>7680</v>
      </c>
      <c r="B3047" s="5" t="s">
        <v>7681</v>
      </c>
      <c r="C3047" s="5" t="s">
        <v>26</v>
      </c>
      <c r="D3047" s="5" t="s">
        <v>27</v>
      </c>
      <c r="E3047" s="5" t="s">
        <v>57</v>
      </c>
      <c r="F3047" s="9">
        <v>51</v>
      </c>
      <c r="G3047" s="9">
        <v>554</v>
      </c>
      <c r="H3047" s="5" t="s">
        <v>21</v>
      </c>
      <c r="I3047" s="5" t="s">
        <v>7682</v>
      </c>
      <c r="J3047" s="12" t="str">
        <f>HYPERLINK("https://www.boe.es/gazeta/dias/1803/06/28/pdfs/GMD-1803-51.pdf#page=10","Abrir facsímil")</f>
        <v>Abrir facsímil</v>
      </c>
      <c r="K3047" s="15" t="s">
        <v>23</v>
      </c>
    </row>
    <row r="3048" spans="1:11" ht="42" customHeight="1">
      <c r="A3048" s="4" t="s">
        <v>7683</v>
      </c>
      <c r="B3048" s="5" t="s">
        <v>7684</v>
      </c>
      <c r="C3048" s="5" t="s">
        <v>18</v>
      </c>
      <c r="D3048" s="5" t="s">
        <v>19</v>
      </c>
      <c r="E3048" s="5" t="s">
        <v>191</v>
      </c>
      <c r="F3048" s="9">
        <v>34</v>
      </c>
      <c r="G3048" s="9">
        <v>358</v>
      </c>
      <c r="H3048" s="5" t="s">
        <v>21</v>
      </c>
      <c r="I3048" s="5" t="s">
        <v>7685</v>
      </c>
      <c r="J3048" s="12" t="str">
        <f>HYPERLINK("https://www.boe.es/gazeta/dias/1803/04/29/pdfs/GMD-1803-34.pdf#page=6","Abrir facsímil")</f>
        <v>Abrir facsímil</v>
      </c>
      <c r="K3048" s="15" t="s">
        <v>23</v>
      </c>
    </row>
    <row r="3049" spans="1:11" ht="42" customHeight="1">
      <c r="A3049" s="4" t="s">
        <v>7686</v>
      </c>
      <c r="B3049" s="5" t="s">
        <v>7687</v>
      </c>
      <c r="C3049" s="5" t="s">
        <v>18</v>
      </c>
      <c r="D3049" s="5" t="s">
        <v>19</v>
      </c>
      <c r="E3049" s="5" t="s">
        <v>361</v>
      </c>
      <c r="F3049" s="9">
        <v>62</v>
      </c>
      <c r="G3049" s="9">
        <v>675</v>
      </c>
      <c r="H3049" s="5" t="s">
        <v>21</v>
      </c>
      <c r="I3049" s="5" t="s">
        <v>7688</v>
      </c>
      <c r="J3049" s="12" t="str">
        <f>HYPERLINK("https://www.boe.es/gazeta/dias/1803/08/05/pdfs/GMD-1803-62.pdf#page=7","Abrir facsímil")</f>
        <v>Abrir facsímil</v>
      </c>
      <c r="K3049" s="15" t="s">
        <v>23</v>
      </c>
    </row>
    <row r="3050" spans="1:11" ht="42" customHeight="1">
      <c r="A3050" s="4" t="s">
        <v>7689</v>
      </c>
      <c r="B3050" s="5" t="s">
        <v>7690</v>
      </c>
      <c r="C3050" s="5" t="s">
        <v>26</v>
      </c>
      <c r="D3050" s="5" t="s">
        <v>27</v>
      </c>
      <c r="E3050" s="5" t="s">
        <v>102</v>
      </c>
      <c r="F3050" s="9">
        <v>31</v>
      </c>
      <c r="G3050" s="9">
        <v>326</v>
      </c>
      <c r="H3050" s="5" t="s">
        <v>21</v>
      </c>
      <c r="I3050" s="5" t="s">
        <v>7691</v>
      </c>
      <c r="J3050" s="12" t="str">
        <f>HYPERLINK("https://www.boe.es/gazeta/dias/1803/04/19/pdfs/GMD-1803-31.pdf#page=6","Abrir facsímil")</f>
        <v>Abrir facsímil</v>
      </c>
      <c r="K3050" s="15" t="s">
        <v>23</v>
      </c>
    </row>
    <row r="3051" spans="1:11" ht="42" customHeight="1">
      <c r="A3051" s="4" t="s">
        <v>7692</v>
      </c>
      <c r="B3051" s="5" t="s">
        <v>7693</v>
      </c>
      <c r="C3051" s="5" t="s">
        <v>26</v>
      </c>
      <c r="D3051" s="5" t="s">
        <v>27</v>
      </c>
      <c r="E3051" s="5" t="s">
        <v>132</v>
      </c>
      <c r="F3051" s="9">
        <v>58</v>
      </c>
      <c r="G3051" s="9">
        <v>638</v>
      </c>
      <c r="H3051" s="5" t="s">
        <v>21</v>
      </c>
      <c r="I3051" s="5" t="s">
        <v>7694</v>
      </c>
      <c r="J3051" s="12" t="str">
        <f>HYPERLINK("https://www.boe.es/gazeta/dias/1803/07/22/pdfs/GMD-1803-58.pdf#page=10","Abrir facsímil")</f>
        <v>Abrir facsímil</v>
      </c>
      <c r="K3051" s="15" t="s">
        <v>23</v>
      </c>
    </row>
    <row r="3052" spans="1:11" ht="42" customHeight="1">
      <c r="A3052" s="4" t="s">
        <v>7695</v>
      </c>
      <c r="B3052" s="5" t="s">
        <v>7695</v>
      </c>
      <c r="C3052" s="5" t="s">
        <v>26</v>
      </c>
      <c r="D3052" s="5" t="s">
        <v>27</v>
      </c>
      <c r="E3052" s="5" t="s">
        <v>289</v>
      </c>
      <c r="F3052" s="9">
        <v>38</v>
      </c>
      <c r="G3052" s="9">
        <v>402</v>
      </c>
      <c r="H3052" s="5" t="s">
        <v>21</v>
      </c>
      <c r="I3052" s="5" t="s">
        <v>7696</v>
      </c>
      <c r="J3052" s="12" t="str">
        <f>HYPERLINK("https://www.boe.es/gazeta/dias/1803/05/13/pdfs/GMD-1803-38.pdf#page=10","Abrir facsímil")</f>
        <v>Abrir facsímil</v>
      </c>
      <c r="K3052" s="15" t="s">
        <v>23</v>
      </c>
    </row>
    <row r="3053" spans="1:11" ht="42" customHeight="1">
      <c r="A3053" s="4" t="s">
        <v>7697</v>
      </c>
      <c r="B3053" s="5" t="s">
        <v>7697</v>
      </c>
      <c r="C3053" s="5" t="s">
        <v>26</v>
      </c>
      <c r="D3053" s="5" t="s">
        <v>27</v>
      </c>
      <c r="E3053" s="5" t="s">
        <v>571</v>
      </c>
      <c r="F3053" s="9">
        <v>103</v>
      </c>
      <c r="G3053" s="9">
        <v>1105</v>
      </c>
      <c r="H3053" s="5" t="s">
        <v>21</v>
      </c>
      <c r="I3053" s="5" t="s">
        <v>7698</v>
      </c>
      <c r="J3053" s="12" t="str">
        <f>HYPERLINK("https://www.boe.es/gazeta/dias/1803/12/23/pdfs/GMD-1803-103.pdf#page=5","Abrir facsímil")</f>
        <v>Abrir facsímil</v>
      </c>
      <c r="K3053" s="15" t="s">
        <v>23</v>
      </c>
    </row>
    <row r="3054" spans="1:11" ht="42" customHeight="1">
      <c r="A3054" s="4" t="s">
        <v>7699</v>
      </c>
      <c r="B3054" s="5" t="s">
        <v>7700</v>
      </c>
      <c r="C3054" s="5" t="s">
        <v>40</v>
      </c>
      <c r="D3054" s="5" t="s">
        <v>41</v>
      </c>
      <c r="E3054" s="5" t="s">
        <v>138</v>
      </c>
      <c r="F3054" s="9">
        <v>68</v>
      </c>
      <c r="G3054" s="9">
        <v>738</v>
      </c>
      <c r="H3054" s="5" t="s">
        <v>21</v>
      </c>
      <c r="I3054" s="5" t="s">
        <v>7701</v>
      </c>
      <c r="J3054" s="12" t="str">
        <f>HYPERLINK("https://www.boe.es/gazeta/dias/1803/08/26/pdfs/GMD-1803-68.pdf#page=6","Abrir facsímil")</f>
        <v>Abrir facsímil</v>
      </c>
      <c r="K3054" s="15" t="s">
        <v>23</v>
      </c>
    </row>
    <row r="3055" spans="1:11" ht="42" customHeight="1">
      <c r="A3055" s="4" t="s">
        <v>7702</v>
      </c>
      <c r="B3055" s="5" t="s">
        <v>7702</v>
      </c>
      <c r="C3055" s="5" t="s">
        <v>18</v>
      </c>
      <c r="D3055" s="5" t="s">
        <v>19</v>
      </c>
      <c r="E3055" s="5" t="s">
        <v>477</v>
      </c>
      <c r="F3055" s="9">
        <v>48</v>
      </c>
      <c r="G3055" s="9">
        <v>512</v>
      </c>
      <c r="H3055" s="5" t="s">
        <v>21</v>
      </c>
      <c r="I3055" s="5" t="s">
        <v>7703</v>
      </c>
      <c r="J3055" s="12" t="str">
        <f>HYPERLINK("https://www.boe.es/gazeta/dias/1803/06/17/pdfs/GMD-1803-48.pdf#page=12","Abrir facsímil")</f>
        <v>Abrir facsímil</v>
      </c>
      <c r="K3055" s="15" t="s">
        <v>23</v>
      </c>
    </row>
    <row r="3056" spans="1:11" ht="42" customHeight="1">
      <c r="A3056" s="4" t="s">
        <v>7704</v>
      </c>
      <c r="B3056" s="5" t="s">
        <v>7705</v>
      </c>
      <c r="C3056" s="5" t="s">
        <v>80</v>
      </c>
      <c r="D3056" s="5" t="s">
        <v>81</v>
      </c>
      <c r="E3056" s="5" t="s">
        <v>967</v>
      </c>
      <c r="F3056" s="9">
        <v>35</v>
      </c>
      <c r="G3056" s="9">
        <v>368</v>
      </c>
      <c r="H3056" s="5" t="s">
        <v>21</v>
      </c>
      <c r="I3056" s="5" t="s">
        <v>7706</v>
      </c>
      <c r="J3056" s="12" t="str">
        <f>HYPERLINK("https://www.boe.es/gazeta/dias/1803/05/03/pdfs/GMD-1803-35.pdf#page=8","Abrir facsímil")</f>
        <v>Abrir facsímil</v>
      </c>
      <c r="K3056" s="15" t="s">
        <v>23</v>
      </c>
    </row>
    <row r="3057" spans="1:11" ht="42" customHeight="1">
      <c r="A3057" s="4" t="s">
        <v>7707</v>
      </c>
      <c r="B3057" s="5" t="s">
        <v>7707</v>
      </c>
      <c r="C3057" s="5" t="s">
        <v>26</v>
      </c>
      <c r="D3057" s="5" t="s">
        <v>27</v>
      </c>
      <c r="E3057" s="5" t="s">
        <v>882</v>
      </c>
      <c r="F3057" s="9">
        <v>60</v>
      </c>
      <c r="G3057" s="9">
        <v>657</v>
      </c>
      <c r="H3057" s="5" t="s">
        <v>21</v>
      </c>
      <c r="I3057" s="5" t="s">
        <v>7708</v>
      </c>
      <c r="J3057" s="12" t="str">
        <f>HYPERLINK("https://www.boe.es/gazeta/dias/1803/07/29/pdfs/GMD-1803-60.pdf#page=9","Abrir facsímil")</f>
        <v>Abrir facsímil</v>
      </c>
      <c r="K3057" s="15" t="s">
        <v>23</v>
      </c>
    </row>
    <row r="3058" spans="1:11" ht="42" customHeight="1">
      <c r="A3058" s="4" t="s">
        <v>7709</v>
      </c>
      <c r="B3058" s="5" t="s">
        <v>7710</v>
      </c>
      <c r="C3058" s="5" t="s">
        <v>18</v>
      </c>
      <c r="D3058" s="5" t="s">
        <v>19</v>
      </c>
      <c r="E3058" s="5" t="s">
        <v>752</v>
      </c>
      <c r="F3058" s="9">
        <v>30</v>
      </c>
      <c r="G3058" s="9">
        <v>314</v>
      </c>
      <c r="H3058" s="5" t="s">
        <v>21</v>
      </c>
      <c r="I3058" s="5" t="s">
        <v>7711</v>
      </c>
      <c r="J3058" s="12" t="str">
        <f>HYPERLINK("https://www.boe.es/gazeta/dias/1803/04/15/pdfs/GMD-1803-30.pdf#page=2","Abrir facsímil")</f>
        <v>Abrir facsímil</v>
      </c>
      <c r="K3058" s="15" t="s">
        <v>23</v>
      </c>
    </row>
    <row r="3059" spans="1:11" ht="42" customHeight="1">
      <c r="A3059" s="4" t="s">
        <v>7709</v>
      </c>
      <c r="B3059" s="5" t="s">
        <v>7710</v>
      </c>
      <c r="C3059" s="5" t="s">
        <v>40</v>
      </c>
      <c r="D3059" s="5" t="s">
        <v>41</v>
      </c>
      <c r="E3059" s="5" t="s">
        <v>795</v>
      </c>
      <c r="F3059" s="9">
        <v>98</v>
      </c>
      <c r="G3059" s="9">
        <v>1046</v>
      </c>
      <c r="H3059" s="5" t="s">
        <v>21</v>
      </c>
      <c r="I3059" s="5" t="s">
        <v>7712</v>
      </c>
      <c r="J3059" s="12" t="str">
        <f>HYPERLINK("https://www.boe.es/gazeta/dias/1803/12/06/pdfs/GMD-1803-98.pdf#page=2","Abrir facsímil")</f>
        <v>Abrir facsímil</v>
      </c>
      <c r="K3059" s="15" t="s">
        <v>23</v>
      </c>
    </row>
    <row r="3060" spans="1:11" ht="42" customHeight="1">
      <c r="A3060" s="4" t="s">
        <v>7713</v>
      </c>
      <c r="B3060" s="5" t="s">
        <v>7713</v>
      </c>
      <c r="C3060" s="5" t="s">
        <v>80</v>
      </c>
      <c r="D3060" s="5" t="s">
        <v>81</v>
      </c>
      <c r="E3060" s="5" t="s">
        <v>178</v>
      </c>
      <c r="F3060" s="9">
        <v>36</v>
      </c>
      <c r="G3060" s="9">
        <v>376</v>
      </c>
      <c r="H3060" s="5" t="s">
        <v>21</v>
      </c>
      <c r="I3060" s="5" t="s">
        <v>7714</v>
      </c>
      <c r="J3060" s="12" t="str">
        <f>HYPERLINK("https://www.boe.es/gazeta/dias/1803/05/06/pdfs/GMD-1803-36.pdf#page=8","Abrir facsímil")</f>
        <v>Abrir facsímil</v>
      </c>
      <c r="K3060" s="15" t="s">
        <v>23</v>
      </c>
    </row>
    <row r="3061" spans="1:11" ht="42" customHeight="1">
      <c r="A3061" s="4" t="s">
        <v>7715</v>
      </c>
      <c r="B3061" s="5" t="s">
        <v>7715</v>
      </c>
      <c r="C3061" s="5" t="s">
        <v>26</v>
      </c>
      <c r="D3061" s="5" t="s">
        <v>27</v>
      </c>
      <c r="E3061" s="5" t="s">
        <v>361</v>
      </c>
      <c r="F3061" s="9">
        <v>62</v>
      </c>
      <c r="G3061" s="9">
        <v>676</v>
      </c>
      <c r="H3061" s="5" t="s">
        <v>21</v>
      </c>
      <c r="I3061" s="5" t="s">
        <v>7716</v>
      </c>
      <c r="J3061" s="12" t="str">
        <f>HYPERLINK("https://www.boe.es/gazeta/dias/1803/08/05/pdfs/GMD-1803-62.pdf#page=8","Abrir facsímil")</f>
        <v>Abrir facsímil</v>
      </c>
      <c r="K3061" s="15" t="s">
        <v>23</v>
      </c>
    </row>
    <row r="3062" spans="1:11" ht="42" customHeight="1">
      <c r="A3062" s="4" t="s">
        <v>7717</v>
      </c>
      <c r="B3062" s="5" t="s">
        <v>7718</v>
      </c>
      <c r="C3062" s="5" t="s">
        <v>51</v>
      </c>
      <c r="D3062" s="5" t="s">
        <v>52</v>
      </c>
      <c r="E3062" s="5" t="s">
        <v>174</v>
      </c>
      <c r="F3062" s="9">
        <v>21</v>
      </c>
      <c r="G3062" s="9">
        <v>226</v>
      </c>
      <c r="H3062" s="5" t="s">
        <v>21</v>
      </c>
      <c r="I3062" s="5" t="s">
        <v>7719</v>
      </c>
      <c r="J3062" s="12" t="str">
        <f>HYPERLINK("https://www.boe.es/gazeta/dias/1803/03/15/pdfs/GMD-1803-21.pdf#page=10","Abrir facsímil")</f>
        <v>Abrir facsímil</v>
      </c>
      <c r="K3062" s="15" t="s">
        <v>23</v>
      </c>
    </row>
    <row r="3063" spans="1:11" ht="42" customHeight="1">
      <c r="A3063" s="4" t="s">
        <v>7717</v>
      </c>
      <c r="B3063" s="5" t="s">
        <v>7718</v>
      </c>
      <c r="C3063" s="5" t="s">
        <v>225</v>
      </c>
      <c r="D3063" s="5" t="s">
        <v>226</v>
      </c>
      <c r="E3063" s="5" t="s">
        <v>609</v>
      </c>
      <c r="F3063" s="9">
        <v>57</v>
      </c>
      <c r="G3063" s="9">
        <v>622</v>
      </c>
      <c r="H3063" s="5" t="s">
        <v>21</v>
      </c>
      <c r="I3063" s="5" t="s">
        <v>7720</v>
      </c>
      <c r="J3063" s="12" t="str">
        <f>HYPERLINK("https://www.boe.es/gazeta/dias/1803/07/19/pdfs/GMD-C-1803-57.pdf#page=2","Abrir facsímil")</f>
        <v>Abrir facsímil</v>
      </c>
      <c r="K3063" s="15" t="s">
        <v>23</v>
      </c>
    </row>
    <row r="3064" spans="1:11" ht="42" customHeight="1">
      <c r="A3064" s="4" t="s">
        <v>7717</v>
      </c>
      <c r="B3064" s="5" t="s">
        <v>7718</v>
      </c>
      <c r="C3064" s="5" t="s">
        <v>51</v>
      </c>
      <c r="D3064" s="5" t="s">
        <v>52</v>
      </c>
      <c r="E3064" s="5" t="s">
        <v>113</v>
      </c>
      <c r="F3064" s="9">
        <v>93</v>
      </c>
      <c r="G3064" s="9">
        <v>997</v>
      </c>
      <c r="H3064" s="5" t="s">
        <v>21</v>
      </c>
      <c r="I3064" s="5" t="s">
        <v>7721</v>
      </c>
      <c r="J3064" s="12" t="str">
        <f>HYPERLINK("https://www.boe.es/gazeta/dias/1803/11/18/pdfs/GMD-1803-93.pdf#page=9","Abrir facsímil")</f>
        <v>Abrir facsímil</v>
      </c>
      <c r="K3064" s="15" t="s">
        <v>23</v>
      </c>
    </row>
    <row r="3065" spans="1:11" ht="42" customHeight="1">
      <c r="A3065" s="4" t="s">
        <v>7722</v>
      </c>
      <c r="B3065" s="5" t="s">
        <v>7723</v>
      </c>
      <c r="C3065" s="5" t="s">
        <v>26</v>
      </c>
      <c r="D3065" s="5" t="s">
        <v>27</v>
      </c>
      <c r="E3065" s="5" t="s">
        <v>28</v>
      </c>
      <c r="F3065" s="9">
        <v>92</v>
      </c>
      <c r="G3065" s="9">
        <v>986</v>
      </c>
      <c r="H3065" s="5" t="s">
        <v>21</v>
      </c>
      <c r="I3065" s="5" t="s">
        <v>7724</v>
      </c>
      <c r="J3065" s="12" t="str">
        <f>HYPERLINK("https://www.boe.es/gazeta/dias/1803/11/15/pdfs/GMD-1803-92.pdf#page=6","Abrir facsímil")</f>
        <v>Abrir facsímil</v>
      </c>
      <c r="K3065" s="15" t="s">
        <v>23</v>
      </c>
    </row>
    <row r="3066" spans="1:11" ht="42" customHeight="1">
      <c r="A3066" s="4" t="s">
        <v>7725</v>
      </c>
      <c r="B3066" s="5" t="s">
        <v>7726</v>
      </c>
      <c r="C3066" s="5" t="s">
        <v>26</v>
      </c>
      <c r="D3066" s="5" t="s">
        <v>27</v>
      </c>
      <c r="E3066" s="5" t="s">
        <v>218</v>
      </c>
      <c r="F3066" s="9">
        <v>19</v>
      </c>
      <c r="G3066" s="9">
        <v>202</v>
      </c>
      <c r="H3066" s="5" t="s">
        <v>21</v>
      </c>
      <c r="I3066" s="5" t="s">
        <v>7727</v>
      </c>
      <c r="J3066" s="12" t="str">
        <f>HYPERLINK("https://www.boe.es/gazeta/dias/1803/03/08/pdfs/GMD-1803-19.pdf#page=10","Abrir facsímil")</f>
        <v>Abrir facsímil</v>
      </c>
      <c r="K3066" s="15" t="s">
        <v>23</v>
      </c>
    </row>
    <row r="3067" spans="1:11" ht="42" customHeight="1">
      <c r="A3067" s="4" t="s">
        <v>7728</v>
      </c>
      <c r="B3067" s="5" t="s">
        <v>7729</v>
      </c>
      <c r="C3067" s="5" t="s">
        <v>26</v>
      </c>
      <c r="D3067" s="5" t="s">
        <v>27</v>
      </c>
      <c r="E3067" s="5" t="s">
        <v>403</v>
      </c>
      <c r="F3067" s="9">
        <v>91</v>
      </c>
      <c r="G3067" s="9">
        <v>977</v>
      </c>
      <c r="H3067" s="5" t="s">
        <v>21</v>
      </c>
      <c r="I3067" s="5" t="s">
        <v>7730</v>
      </c>
      <c r="J3067" s="12" t="str">
        <f>HYPERLINK("https://www.boe.es/gazeta/dias/1803/11/11/pdfs/GMD-1803-91.pdf#page=9","Abrir facsímil")</f>
        <v>Abrir facsímil</v>
      </c>
      <c r="K3067" s="15" t="s">
        <v>23</v>
      </c>
    </row>
    <row r="3068" spans="1:11" ht="42" customHeight="1">
      <c r="A3068" s="4" t="s">
        <v>7731</v>
      </c>
      <c r="B3068" s="5" t="s">
        <v>7731</v>
      </c>
      <c r="C3068" s="5" t="s">
        <v>51</v>
      </c>
      <c r="D3068" s="5" t="s">
        <v>52</v>
      </c>
      <c r="E3068" s="5" t="s">
        <v>148</v>
      </c>
      <c r="F3068" s="9">
        <v>15</v>
      </c>
      <c r="G3068" s="9">
        <v>152</v>
      </c>
      <c r="H3068" s="5" t="s">
        <v>21</v>
      </c>
      <c r="I3068" s="5" t="s">
        <v>7732</v>
      </c>
      <c r="J3068" s="12" t="str">
        <f>HYPERLINK("https://www.boe.es/gazeta/dias/1803/02/22/pdfs/GMD-1803-15.pdf#page=4","Abrir facsímil")</f>
        <v>Abrir facsímil</v>
      </c>
      <c r="K3068" s="15" t="s">
        <v>23</v>
      </c>
    </row>
    <row r="3069" spans="1:11" ht="42" customHeight="1">
      <c r="A3069" s="4" t="s">
        <v>7733</v>
      </c>
      <c r="B3069" s="5" t="s">
        <v>7734</v>
      </c>
      <c r="C3069" s="5" t="s">
        <v>26</v>
      </c>
      <c r="D3069" s="5" t="s">
        <v>27</v>
      </c>
      <c r="E3069" s="5" t="s">
        <v>258</v>
      </c>
      <c r="F3069" s="9">
        <v>7</v>
      </c>
      <c r="G3069" s="9">
        <v>65</v>
      </c>
      <c r="H3069" s="5" t="s">
        <v>21</v>
      </c>
      <c r="I3069" s="5" t="s">
        <v>7735</v>
      </c>
      <c r="J3069" s="12" t="str">
        <f>HYPERLINK("https://www.boe.es/gazeta/dias/1803/01/25/pdfs/GMD-1803-7.pdf#page=5","Abrir facsímil")</f>
        <v>Abrir facsímil</v>
      </c>
      <c r="K3069" s="15" t="s">
        <v>23</v>
      </c>
    </row>
    <row r="3070" spans="1:11" ht="42" customHeight="1">
      <c r="A3070" s="4" t="s">
        <v>7736</v>
      </c>
      <c r="B3070" s="5" t="s">
        <v>7737</v>
      </c>
      <c r="C3070" s="5" t="s">
        <v>18</v>
      </c>
      <c r="D3070" s="5" t="s">
        <v>19</v>
      </c>
      <c r="E3070" s="5" t="s">
        <v>250</v>
      </c>
      <c r="F3070" s="9">
        <v>4</v>
      </c>
      <c r="G3070" s="9">
        <v>35</v>
      </c>
      <c r="H3070" s="5" t="s">
        <v>21</v>
      </c>
      <c r="I3070" s="5" t="s">
        <v>7738</v>
      </c>
      <c r="J3070" s="12" t="str">
        <f>HYPERLINK("https://www.boe.es/gazeta/dias/1803/01/14/pdfs/GMD-1803-4.pdf#page=7","Abrir facsímil")</f>
        <v>Abrir facsímil</v>
      </c>
      <c r="K3070" s="15" t="s">
        <v>23</v>
      </c>
    </row>
    <row r="3071" spans="1:11" ht="42" customHeight="1">
      <c r="A3071" s="4" t="s">
        <v>7739</v>
      </c>
      <c r="B3071" s="5" t="s">
        <v>7740</v>
      </c>
      <c r="C3071" s="5" t="s">
        <v>26</v>
      </c>
      <c r="D3071" s="5" t="s">
        <v>27</v>
      </c>
      <c r="E3071" s="5" t="s">
        <v>160</v>
      </c>
      <c r="F3071" s="9">
        <v>81</v>
      </c>
      <c r="G3071" s="9">
        <v>872</v>
      </c>
      <c r="H3071" s="5" t="s">
        <v>21</v>
      </c>
      <c r="I3071" s="5" t="s">
        <v>7741</v>
      </c>
      <c r="J3071" s="12" t="str">
        <f>HYPERLINK("https://www.boe.es/gazeta/dias/1803/10/07/pdfs/GMD-1803-81.pdf#page=8","Abrir facsímil")</f>
        <v>Abrir facsímil</v>
      </c>
      <c r="K3071" s="15" t="s">
        <v>23</v>
      </c>
    </row>
    <row r="3072" spans="1:11" ht="42" customHeight="1">
      <c r="A3072" s="4" t="s">
        <v>7742</v>
      </c>
      <c r="B3072" s="5" t="s">
        <v>7743</v>
      </c>
      <c r="C3072" s="5" t="s">
        <v>26</v>
      </c>
      <c r="D3072" s="5" t="s">
        <v>27</v>
      </c>
      <c r="E3072" s="5" t="s">
        <v>321</v>
      </c>
      <c r="F3072" s="9">
        <v>94</v>
      </c>
      <c r="G3072" s="9">
        <v>1010</v>
      </c>
      <c r="H3072" s="5" t="s">
        <v>21</v>
      </c>
      <c r="I3072" s="5" t="s">
        <v>7744</v>
      </c>
      <c r="J3072" s="12" t="str">
        <f>HYPERLINK("https://www.boe.es/gazeta/dias/1803/11/22/pdfs/GMD-1803-94.pdf#page=10","Abrir facsímil")</f>
        <v>Abrir facsímil</v>
      </c>
      <c r="K3072" s="15" t="s">
        <v>23</v>
      </c>
    </row>
    <row r="3073" spans="1:11" ht="42" customHeight="1">
      <c r="A3073" s="4" t="s">
        <v>7745</v>
      </c>
      <c r="B3073" s="5" t="s">
        <v>7746</v>
      </c>
      <c r="C3073" s="5" t="s">
        <v>26</v>
      </c>
      <c r="D3073" s="5" t="s">
        <v>27</v>
      </c>
      <c r="E3073" s="5" t="s">
        <v>321</v>
      </c>
      <c r="F3073" s="9">
        <v>94</v>
      </c>
      <c r="G3073" s="9">
        <v>1010</v>
      </c>
      <c r="H3073" s="5" t="s">
        <v>21</v>
      </c>
      <c r="I3073" s="5" t="s">
        <v>7747</v>
      </c>
      <c r="J3073" s="12" t="str">
        <f>HYPERLINK("https://www.boe.es/gazeta/dias/1803/11/22/pdfs/GMD-1803-94.pdf#page=10","Abrir facsímil")</f>
        <v>Abrir facsímil</v>
      </c>
      <c r="K3073" s="15" t="s">
        <v>23</v>
      </c>
    </row>
    <row r="3074" spans="1:11" ht="42" customHeight="1">
      <c r="A3074" s="4" t="s">
        <v>7748</v>
      </c>
      <c r="B3074" s="5" t="s">
        <v>7749</v>
      </c>
      <c r="C3074" s="5" t="s">
        <v>51</v>
      </c>
      <c r="D3074" s="5" t="s">
        <v>52</v>
      </c>
      <c r="E3074" s="5" t="s">
        <v>189</v>
      </c>
      <c r="F3074" s="9">
        <v>9</v>
      </c>
      <c r="G3074" s="9">
        <v>93</v>
      </c>
      <c r="H3074" s="5" t="s">
        <v>21</v>
      </c>
      <c r="I3074" s="5" t="s">
        <v>7750</v>
      </c>
      <c r="J3074" s="12" t="str">
        <f>HYPERLINK("https://www.boe.es/gazeta/dias/1803/02/01/pdfs/GMD-1803-9.pdf#page=9","Abrir facsímil")</f>
        <v>Abrir facsímil</v>
      </c>
      <c r="K3074" s="15" t="s">
        <v>23</v>
      </c>
    </row>
    <row r="3075" spans="1:11" ht="42" customHeight="1">
      <c r="A3075" s="4" t="s">
        <v>7751</v>
      </c>
      <c r="B3075" s="5" t="s">
        <v>7751</v>
      </c>
      <c r="C3075" s="5" t="s">
        <v>26</v>
      </c>
      <c r="D3075" s="5" t="s">
        <v>27</v>
      </c>
      <c r="E3075" s="5" t="s">
        <v>1279</v>
      </c>
      <c r="F3075" s="9">
        <v>3</v>
      </c>
      <c r="G3075" s="9">
        <v>27</v>
      </c>
      <c r="H3075" s="5" t="s">
        <v>21</v>
      </c>
      <c r="I3075" s="5" t="s">
        <v>7752</v>
      </c>
      <c r="J3075" s="12" t="str">
        <f>HYPERLINK("https://www.boe.es/gazeta/dias/1803/01/11/pdfs/GMD-1803-3.pdf#page=7","Abrir facsímil")</f>
        <v>Abrir facsímil</v>
      </c>
      <c r="K3075" s="15" t="s">
        <v>23</v>
      </c>
    </row>
    <row r="3076" spans="1:11" ht="42" customHeight="1">
      <c r="A3076" s="4" t="s">
        <v>7751</v>
      </c>
      <c r="B3076" s="5" t="s">
        <v>7751</v>
      </c>
      <c r="C3076" s="5" t="s">
        <v>51</v>
      </c>
      <c r="D3076" s="5" t="s">
        <v>52</v>
      </c>
      <c r="E3076" s="5" t="s">
        <v>496</v>
      </c>
      <c r="F3076" s="9">
        <v>90</v>
      </c>
      <c r="G3076" s="9">
        <v>965</v>
      </c>
      <c r="H3076" s="5" t="s">
        <v>21</v>
      </c>
      <c r="I3076" s="5" t="s">
        <v>7753</v>
      </c>
      <c r="J3076" s="12" t="str">
        <f>HYPERLINK("https://www.boe.es/gazeta/dias/1803/11/08/pdfs/GMD-1803-90.pdf#page=5","Abrir facsímil")</f>
        <v>Abrir facsímil</v>
      </c>
      <c r="K3076" s="15" t="s">
        <v>23</v>
      </c>
    </row>
    <row r="3077" spans="1:11" ht="42" customHeight="1">
      <c r="A3077" s="4" t="s">
        <v>7754</v>
      </c>
      <c r="B3077" s="5" t="s">
        <v>7755</v>
      </c>
      <c r="C3077" s="5" t="s">
        <v>26</v>
      </c>
      <c r="D3077" s="5" t="s">
        <v>27</v>
      </c>
      <c r="E3077" s="5" t="s">
        <v>211</v>
      </c>
      <c r="F3077" s="9">
        <v>71</v>
      </c>
      <c r="G3077" s="9">
        <v>777</v>
      </c>
      <c r="H3077" s="5" t="s">
        <v>21</v>
      </c>
      <c r="I3077" s="5" t="s">
        <v>7756</v>
      </c>
      <c r="J3077" s="12" t="str">
        <f>HYPERLINK("https://www.boe.es/gazeta/dias/1803/09/06/pdfs/GMD-1803-71.pdf#page=9","Abrir facsímil")</f>
        <v>Abrir facsímil</v>
      </c>
      <c r="K3077" s="15" t="s">
        <v>23</v>
      </c>
    </row>
    <row r="3078" spans="1:11" ht="42" customHeight="1">
      <c r="A3078" s="4" t="s">
        <v>7757</v>
      </c>
      <c r="B3078" s="5" t="s">
        <v>7758</v>
      </c>
      <c r="C3078" s="5" t="s">
        <v>26</v>
      </c>
      <c r="D3078" s="5" t="s">
        <v>27</v>
      </c>
      <c r="E3078" s="5" t="s">
        <v>88</v>
      </c>
      <c r="F3078" s="9">
        <v>18</v>
      </c>
      <c r="G3078" s="9">
        <v>188</v>
      </c>
      <c r="H3078" s="5" t="s">
        <v>21</v>
      </c>
      <c r="I3078" s="5" t="s">
        <v>7759</v>
      </c>
      <c r="J3078" s="12" t="str">
        <f>HYPERLINK("https://www.boe.es/gazeta/dias/1803/03/04/pdfs/GMD-1803-18.pdf#page=8","Abrir facsímil")</f>
        <v>Abrir facsímil</v>
      </c>
      <c r="K3078" s="15" t="s">
        <v>23</v>
      </c>
    </row>
    <row r="3079" spans="1:11" ht="42" customHeight="1">
      <c r="A3079" s="4" t="s">
        <v>7760</v>
      </c>
      <c r="B3079" s="5" t="s">
        <v>7761</v>
      </c>
      <c r="C3079" s="5" t="s">
        <v>26</v>
      </c>
      <c r="D3079" s="5" t="s">
        <v>27</v>
      </c>
      <c r="E3079" s="5" t="s">
        <v>132</v>
      </c>
      <c r="F3079" s="9">
        <v>58</v>
      </c>
      <c r="G3079" s="9">
        <v>639</v>
      </c>
      <c r="H3079" s="5" t="s">
        <v>21</v>
      </c>
      <c r="I3079" s="5" t="s">
        <v>7762</v>
      </c>
      <c r="J3079" s="12" t="str">
        <f>HYPERLINK("https://www.boe.es/gazeta/dias/1803/07/22/pdfs/GMD-1803-58.pdf#page=11","Abrir facsímil")</f>
        <v>Abrir facsímil</v>
      </c>
      <c r="K3079" s="15" t="s">
        <v>23</v>
      </c>
    </row>
    <row r="3080" spans="1:11" ht="42" customHeight="1">
      <c r="A3080" s="4" t="s">
        <v>7763</v>
      </c>
      <c r="B3080" s="5" t="s">
        <v>7764</v>
      </c>
      <c r="C3080" s="5" t="s">
        <v>26</v>
      </c>
      <c r="D3080" s="5" t="s">
        <v>27</v>
      </c>
      <c r="E3080" s="5" t="s">
        <v>57</v>
      </c>
      <c r="F3080" s="9">
        <v>51</v>
      </c>
      <c r="G3080" s="9">
        <v>554</v>
      </c>
      <c r="H3080" s="5" t="s">
        <v>21</v>
      </c>
      <c r="I3080" s="5" t="s">
        <v>7765</v>
      </c>
      <c r="J3080" s="12" t="str">
        <f>HYPERLINK("https://www.boe.es/gazeta/dias/1803/06/28/pdfs/GMD-1803-51.pdf#page=10","Abrir facsímil")</f>
        <v>Abrir facsímil</v>
      </c>
      <c r="K3080" s="15" t="s">
        <v>23</v>
      </c>
    </row>
    <row r="3081" spans="1:11" ht="42" customHeight="1">
      <c r="A3081" s="4" t="s">
        <v>7766</v>
      </c>
      <c r="B3081" s="5" t="s">
        <v>7767</v>
      </c>
      <c r="C3081" s="5" t="s">
        <v>26</v>
      </c>
      <c r="D3081" s="5" t="s">
        <v>27</v>
      </c>
      <c r="E3081" s="5" t="s">
        <v>313</v>
      </c>
      <c r="F3081" s="9">
        <v>14</v>
      </c>
      <c r="G3081" s="9">
        <v>139</v>
      </c>
      <c r="H3081" s="5" t="s">
        <v>21</v>
      </c>
      <c r="I3081" s="5" t="s">
        <v>7768</v>
      </c>
      <c r="J3081" s="12" t="str">
        <f>HYPERLINK("https://www.boe.es/gazeta/dias/1803/02/18/pdfs/GMD-1803-14.pdf#page=3","Abrir facsímil")</f>
        <v>Abrir facsímil</v>
      </c>
      <c r="K3081" s="15" t="s">
        <v>23</v>
      </c>
    </row>
    <row r="3082" spans="1:11" ht="42" customHeight="1">
      <c r="A3082" s="4" t="s">
        <v>7769</v>
      </c>
      <c r="B3082" s="5" t="s">
        <v>7770</v>
      </c>
      <c r="C3082" s="5" t="s">
        <v>80</v>
      </c>
      <c r="D3082" s="5" t="s">
        <v>81</v>
      </c>
      <c r="E3082" s="5" t="s">
        <v>28</v>
      </c>
      <c r="F3082" s="9">
        <v>92</v>
      </c>
      <c r="G3082" s="9">
        <v>981</v>
      </c>
      <c r="H3082" s="5" t="s">
        <v>21</v>
      </c>
      <c r="I3082" s="5" t="s">
        <v>7771</v>
      </c>
      <c r="J3082" s="12" t="str">
        <f>HYPERLINK("https://www.boe.es/gazeta/dias/1803/11/15/pdfs/GMD-1803-92.pdf#page=1","Abrir facsímil")</f>
        <v>Abrir facsímil</v>
      </c>
      <c r="K3082" s="15" t="s">
        <v>23</v>
      </c>
    </row>
    <row r="3083" spans="1:11" ht="42" customHeight="1">
      <c r="A3083" s="4" t="s">
        <v>7772</v>
      </c>
      <c r="B3083" s="5" t="s">
        <v>7773</v>
      </c>
      <c r="C3083" s="5" t="s">
        <v>26</v>
      </c>
      <c r="D3083" s="5" t="s">
        <v>27</v>
      </c>
      <c r="E3083" s="5" t="s">
        <v>132</v>
      </c>
      <c r="F3083" s="9">
        <v>58</v>
      </c>
      <c r="G3083" s="9">
        <v>638</v>
      </c>
      <c r="H3083" s="5" t="s">
        <v>21</v>
      </c>
      <c r="I3083" s="5" t="s">
        <v>7774</v>
      </c>
      <c r="J3083" s="12" t="str">
        <f>HYPERLINK("https://www.boe.es/gazeta/dias/1803/07/22/pdfs/GMD-1803-58.pdf#page=10","Abrir facsímil")</f>
        <v>Abrir facsímil</v>
      </c>
      <c r="K3083" s="15" t="s">
        <v>23</v>
      </c>
    </row>
    <row r="3084" spans="1:11" ht="42" customHeight="1">
      <c r="A3084" s="4" t="s">
        <v>7775</v>
      </c>
      <c r="B3084" s="5" t="s">
        <v>7776</v>
      </c>
      <c r="C3084" s="5" t="s">
        <v>18</v>
      </c>
      <c r="D3084" s="5" t="s">
        <v>19</v>
      </c>
      <c r="E3084" s="5" t="s">
        <v>36</v>
      </c>
      <c r="F3084" s="9">
        <v>79</v>
      </c>
      <c r="G3084" s="9">
        <v>855</v>
      </c>
      <c r="H3084" s="5" t="s">
        <v>21</v>
      </c>
      <c r="I3084" s="5" t="s">
        <v>7777</v>
      </c>
      <c r="J3084" s="12" t="str">
        <f>HYPERLINK("https://www.boe.es/gazeta/dias/1803/09/30/pdfs/GMD-1803-79.pdf#page=7","Abrir facsímil")</f>
        <v>Abrir facsímil</v>
      </c>
      <c r="K3084" s="15" t="s">
        <v>23</v>
      </c>
    </row>
    <row r="3085" spans="1:11" ht="42" customHeight="1">
      <c r="A3085" s="4" t="s">
        <v>7778</v>
      </c>
      <c r="B3085" s="5" t="s">
        <v>7779</v>
      </c>
      <c r="C3085" s="5" t="s">
        <v>26</v>
      </c>
      <c r="D3085" s="5" t="s">
        <v>27</v>
      </c>
      <c r="E3085" s="5" t="s">
        <v>148</v>
      </c>
      <c r="F3085" s="9">
        <v>15</v>
      </c>
      <c r="G3085" s="9">
        <v>157</v>
      </c>
      <c r="H3085" s="5" t="s">
        <v>21</v>
      </c>
      <c r="I3085" s="5" t="s">
        <v>7780</v>
      </c>
      <c r="J3085" s="12" t="str">
        <f>HYPERLINK("https://www.boe.es/gazeta/dias/1803/02/22/pdfs/GMD-1803-15.pdf#page=9","Abrir facsímil")</f>
        <v>Abrir facsímil</v>
      </c>
      <c r="K3085" s="15" t="s">
        <v>23</v>
      </c>
    </row>
    <row r="3086" spans="1:11" ht="42" customHeight="1">
      <c r="A3086" s="4" t="s">
        <v>7781</v>
      </c>
      <c r="B3086" s="5" t="s">
        <v>7782</v>
      </c>
      <c r="C3086" s="5" t="s">
        <v>51</v>
      </c>
      <c r="D3086" s="5" t="s">
        <v>52</v>
      </c>
      <c r="E3086" s="5" t="s">
        <v>882</v>
      </c>
      <c r="F3086" s="9">
        <v>60</v>
      </c>
      <c r="G3086" s="9">
        <v>657</v>
      </c>
      <c r="H3086" s="5" t="s">
        <v>21</v>
      </c>
      <c r="I3086" s="5" t="s">
        <v>7783</v>
      </c>
      <c r="J3086" s="12" t="str">
        <f>HYPERLINK("https://www.boe.es/gazeta/dias/1803/07/29/pdfs/GMD-1803-60.pdf#page=9","Abrir facsímil")</f>
        <v>Abrir facsímil</v>
      </c>
      <c r="K3086" s="15" t="s">
        <v>23</v>
      </c>
    </row>
    <row r="3087" spans="1:11" ht="42" customHeight="1">
      <c r="A3087" s="4" t="s">
        <v>7784</v>
      </c>
      <c r="B3087" s="5" t="s">
        <v>7785</v>
      </c>
      <c r="C3087" s="5" t="s">
        <v>26</v>
      </c>
      <c r="D3087" s="5" t="s">
        <v>27</v>
      </c>
      <c r="E3087" s="5" t="s">
        <v>361</v>
      </c>
      <c r="F3087" s="9">
        <v>62</v>
      </c>
      <c r="G3087" s="9">
        <v>675</v>
      </c>
      <c r="H3087" s="5" t="s">
        <v>21</v>
      </c>
      <c r="I3087" s="5" t="s">
        <v>7786</v>
      </c>
      <c r="J3087" s="12" t="str">
        <f>HYPERLINK("https://www.boe.es/gazeta/dias/1803/08/05/pdfs/GMD-1803-62.pdf#page=7","Abrir facsímil")</f>
        <v>Abrir facsímil</v>
      </c>
      <c r="K3087" s="15" t="s">
        <v>23</v>
      </c>
    </row>
    <row r="3088" spans="1:11" ht="42" customHeight="1">
      <c r="A3088" s="4" t="s">
        <v>7787</v>
      </c>
      <c r="B3088" s="5" t="s">
        <v>7788</v>
      </c>
      <c r="C3088" s="5" t="s">
        <v>51</v>
      </c>
      <c r="D3088" s="5" t="s">
        <v>52</v>
      </c>
      <c r="E3088" s="5" t="s">
        <v>340</v>
      </c>
      <c r="F3088" s="9">
        <v>55</v>
      </c>
      <c r="G3088" s="9">
        <v>598</v>
      </c>
      <c r="H3088" s="5" t="s">
        <v>21</v>
      </c>
      <c r="I3088" s="5" t="s">
        <v>7789</v>
      </c>
      <c r="J3088" s="12" t="str">
        <f>HYPERLINK("https://www.boe.es/gazeta/dias/1803/07/12/pdfs/GMD-1803-55.pdf#page=6","Abrir facsímil")</f>
        <v>Abrir facsímil</v>
      </c>
      <c r="K3088" s="15" t="s">
        <v>23</v>
      </c>
    </row>
    <row r="3089" spans="1:11" ht="42" customHeight="1">
      <c r="A3089" s="4" t="s">
        <v>7790</v>
      </c>
      <c r="B3089" s="5" t="s">
        <v>7791</v>
      </c>
      <c r="C3089" s="5" t="s">
        <v>26</v>
      </c>
      <c r="D3089" s="5" t="s">
        <v>27</v>
      </c>
      <c r="E3089" s="5" t="s">
        <v>174</v>
      </c>
      <c r="F3089" s="9">
        <v>21</v>
      </c>
      <c r="G3089" s="9">
        <v>223</v>
      </c>
      <c r="H3089" s="5" t="s">
        <v>21</v>
      </c>
      <c r="I3089" s="5" t="s">
        <v>7792</v>
      </c>
      <c r="J3089" s="12" t="str">
        <f>HYPERLINK("https://www.boe.es/gazeta/dias/1803/03/15/pdfs/GMD-1803-21.pdf#page=7","Abrir facsímil")</f>
        <v>Abrir facsímil</v>
      </c>
      <c r="K3089" s="15" t="s">
        <v>23</v>
      </c>
    </row>
    <row r="3090" spans="1:11" ht="42" customHeight="1">
      <c r="A3090" s="4" t="s">
        <v>7793</v>
      </c>
      <c r="B3090" s="5" t="s">
        <v>7794</v>
      </c>
      <c r="C3090" s="5" t="s">
        <v>18</v>
      </c>
      <c r="D3090" s="5" t="s">
        <v>19</v>
      </c>
      <c r="E3090" s="5" t="s">
        <v>214</v>
      </c>
      <c r="F3090" s="9">
        <v>17</v>
      </c>
      <c r="G3090" s="9">
        <v>179</v>
      </c>
      <c r="H3090" s="5" t="s">
        <v>21</v>
      </c>
      <c r="I3090" s="5" t="s">
        <v>7795</v>
      </c>
      <c r="J3090" s="12" t="str">
        <f>HYPERLINK("https://www.boe.es/gazeta/dias/1803/03/01/pdfs/GMD-1803-17.pdf#page=11","Abrir facsímil")</f>
        <v>Abrir facsímil</v>
      </c>
      <c r="K3090" s="15" t="s">
        <v>23</v>
      </c>
    </row>
    <row r="3091" spans="1:11" ht="42" customHeight="1">
      <c r="A3091" s="4" t="s">
        <v>7796</v>
      </c>
      <c r="B3091" s="5" t="s">
        <v>7797</v>
      </c>
      <c r="C3091" s="5" t="s">
        <v>26</v>
      </c>
      <c r="D3091" s="5" t="s">
        <v>27</v>
      </c>
      <c r="E3091" s="5" t="s">
        <v>132</v>
      </c>
      <c r="F3091" s="9">
        <v>58</v>
      </c>
      <c r="G3091" s="9">
        <v>638</v>
      </c>
      <c r="H3091" s="5" t="s">
        <v>21</v>
      </c>
      <c r="I3091" s="5" t="s">
        <v>7798</v>
      </c>
      <c r="J3091" s="12" t="str">
        <f>HYPERLINK("https://www.boe.es/gazeta/dias/1803/07/22/pdfs/GMD-1803-58.pdf#page=10","Abrir facsímil")</f>
        <v>Abrir facsímil</v>
      </c>
      <c r="K3091" s="15" t="s">
        <v>23</v>
      </c>
    </row>
    <row r="3092" spans="1:11" ht="42" customHeight="1">
      <c r="A3092" s="4" t="s">
        <v>7799</v>
      </c>
      <c r="B3092" s="5" t="s">
        <v>7800</v>
      </c>
      <c r="C3092" s="5" t="s">
        <v>80</v>
      </c>
      <c r="D3092" s="5" t="s">
        <v>81</v>
      </c>
      <c r="E3092" s="5" t="s">
        <v>919</v>
      </c>
      <c r="F3092" s="9">
        <v>69</v>
      </c>
      <c r="G3092" s="9">
        <v>752</v>
      </c>
      <c r="H3092" s="5" t="s">
        <v>21</v>
      </c>
      <c r="I3092" s="5" t="s">
        <v>7801</v>
      </c>
      <c r="J3092" s="12" t="str">
        <f>HYPERLINK("https://www.boe.es/gazeta/dias/1803/08/30/pdfs/GMD-1803-69.pdf#page=8","Abrir facsímil")</f>
        <v>Abrir facsímil</v>
      </c>
      <c r="K3092" s="15" t="s">
        <v>23</v>
      </c>
    </row>
    <row r="3093" spans="1:11" ht="42" customHeight="1">
      <c r="A3093" s="4" t="s">
        <v>7802</v>
      </c>
      <c r="B3093" s="5" t="s">
        <v>7803</v>
      </c>
      <c r="C3093" s="5" t="s">
        <v>40</v>
      </c>
      <c r="D3093" s="5" t="s">
        <v>41</v>
      </c>
      <c r="E3093" s="5" t="s">
        <v>218</v>
      </c>
      <c r="F3093" s="9">
        <v>19</v>
      </c>
      <c r="G3093" s="9">
        <v>196</v>
      </c>
      <c r="H3093" s="5" t="s">
        <v>21</v>
      </c>
      <c r="I3093" s="5" t="s">
        <v>7804</v>
      </c>
      <c r="J3093" s="12" t="str">
        <f>HYPERLINK("https://www.boe.es/gazeta/dias/1803/03/08/pdfs/GMD-1803-19.pdf#page=4","Abrir facsímil")</f>
        <v>Abrir facsímil</v>
      </c>
      <c r="K3093" s="15" t="s">
        <v>23</v>
      </c>
    </row>
    <row r="3094" spans="1:11" ht="42" customHeight="1">
      <c r="A3094" s="4" t="s">
        <v>7805</v>
      </c>
      <c r="B3094" s="5" t="s">
        <v>7806</v>
      </c>
      <c r="C3094" s="5" t="s">
        <v>26</v>
      </c>
      <c r="D3094" s="5" t="s">
        <v>27</v>
      </c>
      <c r="E3094" s="5" t="s">
        <v>289</v>
      </c>
      <c r="F3094" s="9">
        <v>38</v>
      </c>
      <c r="G3094" s="9">
        <v>401</v>
      </c>
      <c r="H3094" s="5" t="s">
        <v>21</v>
      </c>
      <c r="I3094" s="5" t="s">
        <v>7807</v>
      </c>
      <c r="J3094" s="12" t="str">
        <f>HYPERLINK("https://www.boe.es/gazeta/dias/1803/05/13/pdfs/GMD-1803-38.pdf#page=9","Abrir facsímil")</f>
        <v>Abrir facsímil</v>
      </c>
      <c r="K3094" s="15" t="s">
        <v>23</v>
      </c>
    </row>
    <row r="3095" spans="1:11" ht="42" customHeight="1">
      <c r="A3095" s="4" t="s">
        <v>7808</v>
      </c>
      <c r="B3095" s="5" t="s">
        <v>7809</v>
      </c>
      <c r="C3095" s="5" t="s">
        <v>18</v>
      </c>
      <c r="D3095" s="5" t="s">
        <v>19</v>
      </c>
      <c r="E3095" s="5" t="s">
        <v>36</v>
      </c>
      <c r="F3095" s="9">
        <v>79</v>
      </c>
      <c r="G3095" s="9">
        <v>855</v>
      </c>
      <c r="H3095" s="5" t="s">
        <v>21</v>
      </c>
      <c r="I3095" s="5" t="s">
        <v>7810</v>
      </c>
      <c r="J3095" s="12" t="str">
        <f>HYPERLINK("https://www.boe.es/gazeta/dias/1803/09/30/pdfs/GMD-1803-79.pdf#page=7","Abrir facsímil")</f>
        <v>Abrir facsímil</v>
      </c>
      <c r="K3095" s="15" t="s">
        <v>23</v>
      </c>
    </row>
    <row r="3096" spans="1:11" ht="42" customHeight="1">
      <c r="A3096" s="4" t="s">
        <v>7811</v>
      </c>
      <c r="B3096" s="5" t="s">
        <v>7812</v>
      </c>
      <c r="C3096" s="5" t="s">
        <v>26</v>
      </c>
      <c r="D3096" s="5" t="s">
        <v>27</v>
      </c>
      <c r="E3096" s="5" t="s">
        <v>514</v>
      </c>
      <c r="F3096" s="9">
        <v>42</v>
      </c>
      <c r="G3096" s="9">
        <v>439</v>
      </c>
      <c r="H3096" s="5" t="s">
        <v>21</v>
      </c>
      <c r="I3096" s="5" t="s">
        <v>7813</v>
      </c>
      <c r="J3096" s="12" t="str">
        <f>HYPERLINK("https://www.boe.es/gazeta/dias/1803/05/27/pdfs/GMD-1803-42.pdf#page=7","Abrir facsímil")</f>
        <v>Abrir facsímil</v>
      </c>
      <c r="K3096" s="15" t="s">
        <v>23</v>
      </c>
    </row>
    <row r="3097" spans="1:11" ht="42" customHeight="1">
      <c r="A3097" s="4" t="s">
        <v>7814</v>
      </c>
      <c r="B3097" s="5" t="s">
        <v>7815</v>
      </c>
      <c r="C3097" s="5" t="s">
        <v>26</v>
      </c>
      <c r="D3097" s="5" t="s">
        <v>27</v>
      </c>
      <c r="E3097" s="5" t="s">
        <v>919</v>
      </c>
      <c r="F3097" s="9">
        <v>69</v>
      </c>
      <c r="G3097" s="9">
        <v>750</v>
      </c>
      <c r="H3097" s="5" t="s">
        <v>21</v>
      </c>
      <c r="I3097" s="5" t="s">
        <v>7816</v>
      </c>
      <c r="J3097" s="12" t="str">
        <f>HYPERLINK("https://www.boe.es/gazeta/dias/1803/08/30/pdfs/GMD-1803-69.pdf#page=6","Abrir facsímil")</f>
        <v>Abrir facsímil</v>
      </c>
      <c r="K3097" s="15" t="s">
        <v>23</v>
      </c>
    </row>
    <row r="3098" spans="1:11" ht="42" customHeight="1">
      <c r="A3098" s="4" t="s">
        <v>7817</v>
      </c>
      <c r="B3098" s="5" t="s">
        <v>7818</v>
      </c>
      <c r="C3098" s="5" t="s">
        <v>51</v>
      </c>
      <c r="D3098" s="5" t="s">
        <v>52</v>
      </c>
      <c r="E3098" s="5" t="s">
        <v>373</v>
      </c>
      <c r="F3098" s="9">
        <v>77</v>
      </c>
      <c r="G3098" s="9">
        <v>834</v>
      </c>
      <c r="H3098" s="5" t="s">
        <v>21</v>
      </c>
      <c r="I3098" s="5" t="s">
        <v>7819</v>
      </c>
      <c r="J3098" s="12" t="str">
        <f>HYPERLINK("https://www.boe.es/gazeta/dias/1803/09/23/pdfs/GMD-1803-77.pdf#page=10","Abrir facsímil")</f>
        <v>Abrir facsímil</v>
      </c>
      <c r="K3098" s="15" t="s">
        <v>23</v>
      </c>
    </row>
    <row r="3099" spans="1:11" ht="42" customHeight="1">
      <c r="A3099" s="4" t="s">
        <v>7820</v>
      </c>
      <c r="B3099" s="5" t="s">
        <v>7821</v>
      </c>
      <c r="C3099" s="5" t="s">
        <v>26</v>
      </c>
      <c r="D3099" s="5" t="s">
        <v>27</v>
      </c>
      <c r="E3099" s="5" t="s">
        <v>340</v>
      </c>
      <c r="F3099" s="9">
        <v>55</v>
      </c>
      <c r="G3099" s="9">
        <v>602</v>
      </c>
      <c r="H3099" s="5" t="s">
        <v>21</v>
      </c>
      <c r="I3099" s="5" t="s">
        <v>7822</v>
      </c>
      <c r="J3099" s="12" t="str">
        <f>HYPERLINK("https://www.boe.es/gazeta/dias/1803/07/12/pdfs/GMD-1803-55.pdf#page=10","Abrir facsímil")</f>
        <v>Abrir facsímil</v>
      </c>
      <c r="K3099" s="15" t="s">
        <v>23</v>
      </c>
    </row>
    <row r="3100" spans="1:11" ht="42" customHeight="1">
      <c r="A3100" s="4" t="s">
        <v>7823</v>
      </c>
      <c r="B3100" s="5" t="s">
        <v>7824</v>
      </c>
      <c r="C3100" s="5" t="s">
        <v>26</v>
      </c>
      <c r="D3100" s="5" t="s">
        <v>27</v>
      </c>
      <c r="E3100" s="5" t="s">
        <v>263</v>
      </c>
      <c r="F3100" s="9">
        <v>75</v>
      </c>
      <c r="G3100" s="9">
        <v>811</v>
      </c>
      <c r="H3100" s="5" t="s">
        <v>21</v>
      </c>
      <c r="I3100" s="5" t="s">
        <v>7825</v>
      </c>
      <c r="J3100" s="12" t="str">
        <f>HYPERLINK("https://www.boe.es/gazeta/dias/1803/09/16/pdfs/GMD-1803-75.pdf#page=7","Abrir facsímil")</f>
        <v>Abrir facsímil</v>
      </c>
      <c r="K3100" s="15" t="s">
        <v>23</v>
      </c>
    </row>
    <row r="3101" spans="1:11" ht="42" customHeight="1">
      <c r="A3101" s="4" t="s">
        <v>7826</v>
      </c>
      <c r="B3101" s="5" t="s">
        <v>7827</v>
      </c>
      <c r="C3101" s="5" t="s">
        <v>51</v>
      </c>
      <c r="D3101" s="5" t="s">
        <v>52</v>
      </c>
      <c r="E3101" s="5" t="s">
        <v>256</v>
      </c>
      <c r="F3101" s="9">
        <v>1</v>
      </c>
      <c r="G3101" s="9">
        <v>6</v>
      </c>
      <c r="H3101" s="5" t="s">
        <v>21</v>
      </c>
      <c r="I3101" s="5" t="s">
        <v>7828</v>
      </c>
      <c r="J3101" s="12" t="str">
        <f>HYPERLINK("https://www.boe.es/gazeta/dias/1803/01/04/pdfs/GMD-1803-1.pdf#page=6","Abrir facsímil")</f>
        <v>Abrir facsímil</v>
      </c>
      <c r="K3101" s="15" t="s">
        <v>23</v>
      </c>
    </row>
    <row r="3102" spans="1:11" ht="42" customHeight="1">
      <c r="A3102" s="4" t="s">
        <v>7826</v>
      </c>
      <c r="B3102" s="5" t="s">
        <v>7827</v>
      </c>
      <c r="C3102" s="5" t="s">
        <v>40</v>
      </c>
      <c r="D3102" s="5" t="s">
        <v>41</v>
      </c>
      <c r="E3102" s="5" t="s">
        <v>480</v>
      </c>
      <c r="F3102" s="9">
        <v>87</v>
      </c>
      <c r="G3102" s="9">
        <v>938</v>
      </c>
      <c r="H3102" s="5" t="s">
        <v>21</v>
      </c>
      <c r="I3102" s="5" t="s">
        <v>7829</v>
      </c>
      <c r="J3102" s="12" t="str">
        <f>HYPERLINK("https://www.boe.es/gazeta/dias/1803/10/28/pdfs/GMD-1803-87.pdf#page=6","Abrir facsímil")</f>
        <v>Abrir facsímil</v>
      </c>
      <c r="K3102" s="15" t="s">
        <v>23</v>
      </c>
    </row>
    <row r="3103" spans="1:11" ht="42" customHeight="1">
      <c r="A3103" s="4" t="s">
        <v>7826</v>
      </c>
      <c r="B3103" s="5" t="s">
        <v>7827</v>
      </c>
      <c r="C3103" s="5" t="s">
        <v>40</v>
      </c>
      <c r="D3103" s="5" t="s">
        <v>41</v>
      </c>
      <c r="E3103" s="5" t="s">
        <v>336</v>
      </c>
      <c r="F3103" s="9">
        <v>105</v>
      </c>
      <c r="G3103" s="9">
        <v>1119</v>
      </c>
      <c r="H3103" s="5" t="s">
        <v>21</v>
      </c>
      <c r="I3103" s="5" t="s">
        <v>7830</v>
      </c>
      <c r="J3103" s="12" t="str">
        <f>HYPERLINK("https://www.boe.es/gazeta/dias/1803/12/30/pdfs/GMD-1803-105.pdf#page=3","Abrir facsímil")</f>
        <v>Abrir facsímil</v>
      </c>
      <c r="K3103" s="15" t="s">
        <v>23</v>
      </c>
    </row>
    <row r="3104" spans="1:11" ht="42" customHeight="1">
      <c r="A3104" s="4" t="s">
        <v>7831</v>
      </c>
      <c r="B3104" s="5" t="s">
        <v>7831</v>
      </c>
      <c r="C3104" s="5" t="s">
        <v>40</v>
      </c>
      <c r="D3104" s="5" t="s">
        <v>41</v>
      </c>
      <c r="E3104" s="5" t="s">
        <v>784</v>
      </c>
      <c r="F3104" s="9">
        <v>86</v>
      </c>
      <c r="G3104" s="9">
        <v>929</v>
      </c>
      <c r="H3104" s="5" t="s">
        <v>21</v>
      </c>
      <c r="I3104" s="5" t="s">
        <v>7832</v>
      </c>
      <c r="J3104" s="12" t="str">
        <f>HYPERLINK("https://www.boe.es/gazeta/dias/1803/10/25/pdfs/GMD-1803-86.pdf#page=9","Abrir facsímil")</f>
        <v>Abrir facsímil</v>
      </c>
      <c r="K3104" s="15" t="s">
        <v>23</v>
      </c>
    </row>
    <row r="3105" spans="1:11" ht="42" customHeight="1">
      <c r="A3105" s="4" t="s">
        <v>7833</v>
      </c>
      <c r="B3105" s="5" t="s">
        <v>7833</v>
      </c>
      <c r="C3105" s="5" t="s">
        <v>26</v>
      </c>
      <c r="D3105" s="5" t="s">
        <v>27</v>
      </c>
      <c r="E3105" s="5" t="s">
        <v>389</v>
      </c>
      <c r="F3105" s="9">
        <v>41</v>
      </c>
      <c r="G3105" s="9">
        <v>428</v>
      </c>
      <c r="H3105" s="5" t="s">
        <v>21</v>
      </c>
      <c r="I3105" s="5" t="s">
        <v>7834</v>
      </c>
      <c r="J3105" s="12" t="str">
        <f>HYPERLINK("https://www.boe.es/gazeta/dias/1803/05/24/pdfs/GMD-1803-41.pdf#page=4","Abrir facsímil")</f>
        <v>Abrir facsímil</v>
      </c>
      <c r="K3105" s="15" t="s">
        <v>23</v>
      </c>
    </row>
    <row r="3106" spans="1:11" ht="42" customHeight="1">
      <c r="A3106" s="4" t="s">
        <v>7835</v>
      </c>
      <c r="B3106" s="5" t="s">
        <v>7836</v>
      </c>
      <c r="C3106" s="5" t="s">
        <v>26</v>
      </c>
      <c r="D3106" s="5" t="s">
        <v>27</v>
      </c>
      <c r="E3106" s="5" t="s">
        <v>361</v>
      </c>
      <c r="F3106" s="9">
        <v>62</v>
      </c>
      <c r="G3106" s="9">
        <v>676</v>
      </c>
      <c r="H3106" s="5" t="s">
        <v>21</v>
      </c>
      <c r="I3106" s="5" t="s">
        <v>7837</v>
      </c>
      <c r="J3106" s="12" t="str">
        <f>HYPERLINK("https://www.boe.es/gazeta/dias/1803/08/05/pdfs/GMD-1803-62.pdf#page=8","Abrir facsímil")</f>
        <v>Abrir facsímil</v>
      </c>
      <c r="K3106" s="15" t="s">
        <v>23</v>
      </c>
    </row>
    <row r="3107" spans="1:11" ht="42" customHeight="1">
      <c r="A3107" s="4" t="s">
        <v>7838</v>
      </c>
      <c r="B3107" s="5" t="s">
        <v>7839</v>
      </c>
      <c r="C3107" s="5" t="s">
        <v>18</v>
      </c>
      <c r="D3107" s="5" t="s">
        <v>19</v>
      </c>
      <c r="E3107" s="5" t="s">
        <v>417</v>
      </c>
      <c r="F3107" s="9">
        <v>72</v>
      </c>
      <c r="G3107" s="9">
        <v>786</v>
      </c>
      <c r="H3107" s="5" t="s">
        <v>21</v>
      </c>
      <c r="I3107" s="5" t="s">
        <v>7840</v>
      </c>
      <c r="J3107" s="12" t="str">
        <f>HYPERLINK("https://www.boe.es/gazeta/dias/1803/09/09/pdfs/GMD-1803-72.pdf#page=6","Abrir facsímil")</f>
        <v>Abrir facsímil</v>
      </c>
      <c r="K3107" s="15" t="s">
        <v>23</v>
      </c>
    </row>
    <row r="3108" spans="1:11" ht="42" customHeight="1">
      <c r="A3108" s="4" t="s">
        <v>7841</v>
      </c>
      <c r="B3108" s="5" t="s">
        <v>7842</v>
      </c>
      <c r="C3108" s="5" t="s">
        <v>225</v>
      </c>
      <c r="D3108" s="5" t="s">
        <v>226</v>
      </c>
      <c r="E3108" s="5" t="s">
        <v>609</v>
      </c>
      <c r="F3108" s="9">
        <v>57</v>
      </c>
      <c r="G3108" s="9">
        <v>622</v>
      </c>
      <c r="H3108" s="5" t="s">
        <v>21</v>
      </c>
      <c r="I3108" s="5" t="s">
        <v>7843</v>
      </c>
      <c r="J3108" s="12" t="str">
        <f>HYPERLINK("https://www.boe.es/gazeta/dias/1803/07/19/pdfs/GMD-C-1803-57.pdf#page=2","Abrir facsímil")</f>
        <v>Abrir facsímil</v>
      </c>
      <c r="K3108" s="15" t="s">
        <v>23</v>
      </c>
    </row>
    <row r="3109" spans="1:11" ht="42" customHeight="1">
      <c r="A3109" s="4" t="s">
        <v>7841</v>
      </c>
      <c r="B3109" s="5" t="s">
        <v>7842</v>
      </c>
      <c r="C3109" s="5" t="s">
        <v>51</v>
      </c>
      <c r="D3109" s="5" t="s">
        <v>52</v>
      </c>
      <c r="E3109" s="5" t="s">
        <v>113</v>
      </c>
      <c r="F3109" s="9">
        <v>93</v>
      </c>
      <c r="G3109" s="9">
        <v>997</v>
      </c>
      <c r="H3109" s="5" t="s">
        <v>21</v>
      </c>
      <c r="I3109" s="5" t="s">
        <v>7844</v>
      </c>
      <c r="J3109" s="12" t="str">
        <f>HYPERLINK("https://www.boe.es/gazeta/dias/1803/11/18/pdfs/GMD-1803-93.pdf#page=9","Abrir facsímil")</f>
        <v>Abrir facsímil</v>
      </c>
      <c r="K3109" s="15" t="s">
        <v>23</v>
      </c>
    </row>
    <row r="3110" spans="1:11" ht="42" customHeight="1">
      <c r="A3110" s="4" t="s">
        <v>7845</v>
      </c>
      <c r="B3110" s="5" t="s">
        <v>7846</v>
      </c>
      <c r="C3110" s="5" t="s">
        <v>18</v>
      </c>
      <c r="D3110" s="5" t="s">
        <v>19</v>
      </c>
      <c r="E3110" s="5" t="s">
        <v>480</v>
      </c>
      <c r="F3110" s="9">
        <v>87</v>
      </c>
      <c r="G3110" s="9">
        <v>939</v>
      </c>
      <c r="H3110" s="5" t="s">
        <v>21</v>
      </c>
      <c r="I3110" s="5" t="s">
        <v>7847</v>
      </c>
      <c r="J3110" s="12" t="str">
        <f>HYPERLINK("https://www.boe.es/gazeta/dias/1803/10/28/pdfs/GMD-1803-87.pdf#page=7","Abrir facsímil")</f>
        <v>Abrir facsímil</v>
      </c>
      <c r="K3110" s="15" t="s">
        <v>23</v>
      </c>
    </row>
    <row r="3111" spans="1:11" ht="42" customHeight="1">
      <c r="A3111" s="4" t="s">
        <v>7848</v>
      </c>
      <c r="B3111" s="5" t="s">
        <v>7849</v>
      </c>
      <c r="C3111" s="5" t="s">
        <v>26</v>
      </c>
      <c r="D3111" s="5" t="s">
        <v>27</v>
      </c>
      <c r="E3111" s="5" t="s">
        <v>138</v>
      </c>
      <c r="F3111" s="9">
        <v>68</v>
      </c>
      <c r="G3111" s="9">
        <v>742</v>
      </c>
      <c r="H3111" s="5" t="s">
        <v>21</v>
      </c>
      <c r="I3111" s="5" t="s">
        <v>7850</v>
      </c>
      <c r="J3111" s="12" t="str">
        <f>HYPERLINK("https://www.boe.es/gazeta/dias/1803/08/26/pdfs/GMD-1803-68.pdf#page=10","Abrir facsímil")</f>
        <v>Abrir facsímil</v>
      </c>
      <c r="K3111" s="15" t="s">
        <v>23</v>
      </c>
    </row>
    <row r="3112" spans="1:11" ht="42" customHeight="1">
      <c r="A3112" s="4" t="s">
        <v>7851</v>
      </c>
      <c r="B3112" s="5" t="s">
        <v>7852</v>
      </c>
      <c r="C3112" s="5" t="s">
        <v>80</v>
      </c>
      <c r="D3112" s="5" t="s">
        <v>81</v>
      </c>
      <c r="E3112" s="5" t="s">
        <v>289</v>
      </c>
      <c r="F3112" s="9">
        <v>38</v>
      </c>
      <c r="G3112" s="9">
        <v>404</v>
      </c>
      <c r="H3112" s="5" t="s">
        <v>21</v>
      </c>
      <c r="I3112" s="5" t="s">
        <v>7853</v>
      </c>
      <c r="J3112" s="12" t="str">
        <f>HYPERLINK("https://www.boe.es/gazeta/dias/1803/05/13/pdfs/GMD-1803-38.pdf#page=12","Abrir facsímil")</f>
        <v>Abrir facsímil</v>
      </c>
      <c r="K3112" s="15" t="s">
        <v>23</v>
      </c>
    </row>
    <row r="3113" spans="1:11" ht="42" customHeight="1">
      <c r="A3113" s="4" t="s">
        <v>7854</v>
      </c>
      <c r="B3113" s="5" t="s">
        <v>7855</v>
      </c>
      <c r="C3113" s="5" t="s">
        <v>26</v>
      </c>
      <c r="D3113" s="5" t="s">
        <v>27</v>
      </c>
      <c r="E3113" s="5" t="s">
        <v>300</v>
      </c>
      <c r="F3113" s="9">
        <v>96</v>
      </c>
      <c r="G3113" s="9">
        <v>1034</v>
      </c>
      <c r="H3113" s="5" t="s">
        <v>21</v>
      </c>
      <c r="I3113" s="5" t="s">
        <v>7856</v>
      </c>
      <c r="J3113" s="12" t="str">
        <f>HYPERLINK("https://www.boe.es/gazeta/dias/1803/11/29/pdfs/GMD-1803-96.pdf#page=10","Abrir facsímil")</f>
        <v>Abrir facsímil</v>
      </c>
      <c r="K3113" s="15" t="s">
        <v>23</v>
      </c>
    </row>
    <row r="3114" spans="1:11" ht="42" customHeight="1">
      <c r="A3114" s="4" t="s">
        <v>7857</v>
      </c>
      <c r="B3114" s="5" t="s">
        <v>7858</v>
      </c>
      <c r="C3114" s="5" t="s">
        <v>26</v>
      </c>
      <c r="D3114" s="5" t="s">
        <v>27</v>
      </c>
      <c r="E3114" s="5" t="s">
        <v>501</v>
      </c>
      <c r="F3114" s="9">
        <v>22</v>
      </c>
      <c r="G3114" s="9">
        <v>238</v>
      </c>
      <c r="H3114" s="5" t="s">
        <v>21</v>
      </c>
      <c r="I3114" s="5" t="s">
        <v>7859</v>
      </c>
      <c r="J3114" s="12" t="str">
        <f>HYPERLINK("https://www.boe.es/gazeta/dias/1803/03/18/pdfs/GMD-1803-22.pdf#page=10","Abrir facsímil")</f>
        <v>Abrir facsímil</v>
      </c>
      <c r="K3114" s="15" t="s">
        <v>23</v>
      </c>
    </row>
    <row r="3115" spans="1:11" ht="42" customHeight="1">
      <c r="A3115" s="4" t="s">
        <v>7860</v>
      </c>
      <c r="B3115" s="5" t="s">
        <v>7861</v>
      </c>
      <c r="C3115" s="5" t="s">
        <v>26</v>
      </c>
      <c r="D3115" s="5" t="s">
        <v>27</v>
      </c>
      <c r="E3115" s="5" t="s">
        <v>88</v>
      </c>
      <c r="F3115" s="9">
        <v>18</v>
      </c>
      <c r="G3115" s="9">
        <v>188</v>
      </c>
      <c r="H3115" s="5" t="s">
        <v>21</v>
      </c>
      <c r="I3115" s="5" t="s">
        <v>7862</v>
      </c>
      <c r="J3115" s="12" t="str">
        <f>HYPERLINK("https://www.boe.es/gazeta/dias/1803/03/04/pdfs/GMD-1803-18.pdf#page=8","Abrir facsímil")</f>
        <v>Abrir facsímil</v>
      </c>
      <c r="K3115" s="15" t="s">
        <v>23</v>
      </c>
    </row>
    <row r="3116" spans="1:11" ht="42" customHeight="1">
      <c r="A3116" s="4" t="s">
        <v>7863</v>
      </c>
      <c r="B3116" s="5" t="s">
        <v>7864</v>
      </c>
      <c r="C3116" s="5" t="s">
        <v>26</v>
      </c>
      <c r="D3116" s="5" t="s">
        <v>27</v>
      </c>
      <c r="E3116" s="5" t="s">
        <v>373</v>
      </c>
      <c r="F3116" s="9">
        <v>77</v>
      </c>
      <c r="G3116" s="9">
        <v>834</v>
      </c>
      <c r="H3116" s="5" t="s">
        <v>21</v>
      </c>
      <c r="I3116" s="5" t="s">
        <v>7865</v>
      </c>
      <c r="J3116" s="12" t="str">
        <f>HYPERLINK("https://www.boe.es/gazeta/dias/1803/09/23/pdfs/GMD-1803-77.pdf#page=10","Abrir facsímil")</f>
        <v>Abrir facsímil</v>
      </c>
      <c r="K3116" s="15" t="s">
        <v>23</v>
      </c>
    </row>
    <row r="3117" spans="1:11" ht="42" customHeight="1">
      <c r="A3117" s="4" t="s">
        <v>7866</v>
      </c>
      <c r="B3117" s="5" t="s">
        <v>7867</v>
      </c>
      <c r="C3117" s="5" t="s">
        <v>40</v>
      </c>
      <c r="D3117" s="5" t="s">
        <v>41</v>
      </c>
      <c r="E3117" s="5" t="s">
        <v>389</v>
      </c>
      <c r="F3117" s="9">
        <v>41</v>
      </c>
      <c r="G3117" s="9">
        <v>426</v>
      </c>
      <c r="H3117" s="5" t="s">
        <v>21</v>
      </c>
      <c r="I3117" s="5" t="s">
        <v>7868</v>
      </c>
      <c r="J3117" s="12" t="str">
        <f>HYPERLINK("https://www.boe.es/gazeta/dias/1803/05/24/pdfs/GMD-1803-41.pdf#page=2","Abrir facsímil")</f>
        <v>Abrir facsímil</v>
      </c>
      <c r="K3117" s="15" t="s">
        <v>23</v>
      </c>
    </row>
    <row r="3118" spans="1:11" ht="42" customHeight="1">
      <c r="A3118" s="4" t="s">
        <v>7869</v>
      </c>
      <c r="B3118" s="5" t="s">
        <v>7869</v>
      </c>
      <c r="C3118" s="5" t="s">
        <v>26</v>
      </c>
      <c r="D3118" s="5" t="s">
        <v>27</v>
      </c>
      <c r="E3118" s="5" t="s">
        <v>439</v>
      </c>
      <c r="F3118" s="9">
        <v>76</v>
      </c>
      <c r="G3118" s="9">
        <v>822</v>
      </c>
      <c r="H3118" s="5" t="s">
        <v>21</v>
      </c>
      <c r="I3118" s="5" t="s">
        <v>7870</v>
      </c>
      <c r="J3118" s="12" t="str">
        <f>HYPERLINK("https://www.boe.es/gazeta/dias/1803/09/20/pdfs/GMD-1803-76.pdf#page=10","Abrir facsímil")</f>
        <v>Abrir facsímil</v>
      </c>
      <c r="K3118" s="15" t="s">
        <v>23</v>
      </c>
    </row>
    <row r="3119" spans="1:11" ht="42" customHeight="1">
      <c r="A3119" s="4" t="s">
        <v>7869</v>
      </c>
      <c r="B3119" s="5" t="s">
        <v>7869</v>
      </c>
      <c r="C3119" s="5" t="s">
        <v>26</v>
      </c>
      <c r="D3119" s="5" t="s">
        <v>27</v>
      </c>
      <c r="E3119" s="5" t="s">
        <v>403</v>
      </c>
      <c r="F3119" s="9">
        <v>91</v>
      </c>
      <c r="G3119" s="9">
        <v>976</v>
      </c>
      <c r="H3119" s="5" t="s">
        <v>21</v>
      </c>
      <c r="I3119" s="5" t="s">
        <v>7871</v>
      </c>
      <c r="J3119" s="12" t="str">
        <f>HYPERLINK("https://www.boe.es/gazeta/dias/1803/11/11/pdfs/GMD-1803-91.pdf#page=8","Abrir facsímil")</f>
        <v>Abrir facsímil</v>
      </c>
      <c r="K3119" s="15" t="s">
        <v>23</v>
      </c>
    </row>
    <row r="3120" spans="1:11" ht="42" customHeight="1">
      <c r="A3120" s="4" t="s">
        <v>7872</v>
      </c>
      <c r="B3120" s="5" t="s">
        <v>7872</v>
      </c>
      <c r="C3120" s="5" t="s">
        <v>46</v>
      </c>
      <c r="D3120" s="5" t="s">
        <v>19</v>
      </c>
      <c r="E3120" s="5" t="s">
        <v>214</v>
      </c>
      <c r="F3120" s="9">
        <v>17</v>
      </c>
      <c r="G3120" s="9">
        <v>179</v>
      </c>
      <c r="H3120" s="5" t="s">
        <v>21</v>
      </c>
      <c r="I3120" s="5" t="s">
        <v>7873</v>
      </c>
      <c r="J3120" s="12" t="str">
        <f>HYPERLINK("https://www.boe.es/gazeta/dias/1803/03/01/pdfs/GMD-1803-17.pdf#page=11","Abrir facsímil")</f>
        <v>Abrir facsímil</v>
      </c>
      <c r="K3120" s="15" t="s">
        <v>23</v>
      </c>
    </row>
    <row r="3121" spans="1:11" ht="42" customHeight="1">
      <c r="A3121" s="4" t="s">
        <v>7874</v>
      </c>
      <c r="B3121" s="5" t="s">
        <v>7874</v>
      </c>
      <c r="C3121" s="5" t="s">
        <v>80</v>
      </c>
      <c r="D3121" s="5" t="s">
        <v>81</v>
      </c>
      <c r="E3121" s="5" t="s">
        <v>231</v>
      </c>
      <c r="F3121" s="9">
        <v>26</v>
      </c>
      <c r="G3121" s="9">
        <v>283</v>
      </c>
      <c r="H3121" s="5" t="s">
        <v>21</v>
      </c>
      <c r="I3121" s="5" t="s">
        <v>7875</v>
      </c>
      <c r="J3121" s="12" t="str">
        <f>HYPERLINK("https://www.boe.es/gazeta/dias/1803/04/01/pdfs/GMD-1803-26.pdf#page=11","Abrir facsímil")</f>
        <v>Abrir facsímil</v>
      </c>
      <c r="K3121" s="15" t="s">
        <v>23</v>
      </c>
    </row>
    <row r="3122" spans="1:11" ht="42" customHeight="1">
      <c r="A3122" s="4" t="s">
        <v>7876</v>
      </c>
      <c r="B3122" s="5" t="s">
        <v>7877</v>
      </c>
      <c r="C3122" s="5" t="s">
        <v>26</v>
      </c>
      <c r="D3122" s="5" t="s">
        <v>27</v>
      </c>
      <c r="E3122" s="5" t="s">
        <v>278</v>
      </c>
      <c r="F3122" s="9">
        <v>46</v>
      </c>
      <c r="G3122" s="9">
        <v>486</v>
      </c>
      <c r="H3122" s="5" t="s">
        <v>21</v>
      </c>
      <c r="I3122" s="5" t="s">
        <v>7878</v>
      </c>
      <c r="J3122" s="12" t="str">
        <f>HYPERLINK("https://www.boe.es/gazeta/dias/1803/06/10/pdfs/GMD-1803-46.pdf#page=10","Abrir facsímil")</f>
        <v>Abrir facsímil</v>
      </c>
      <c r="K3122" s="15" t="s">
        <v>23</v>
      </c>
    </row>
    <row r="3123" spans="1:11" ht="42" customHeight="1">
      <c r="A3123" s="4" t="s">
        <v>7879</v>
      </c>
      <c r="B3123" s="5" t="s">
        <v>7880</v>
      </c>
      <c r="C3123" s="5" t="s">
        <v>40</v>
      </c>
      <c r="D3123" s="5" t="s">
        <v>41</v>
      </c>
      <c r="E3123" s="5" t="s">
        <v>399</v>
      </c>
      <c r="F3123" s="9">
        <v>95</v>
      </c>
      <c r="G3123" s="9">
        <v>1015</v>
      </c>
      <c r="H3123" s="5" t="s">
        <v>21</v>
      </c>
      <c r="I3123" s="5" t="s">
        <v>7881</v>
      </c>
      <c r="J3123" s="12" t="str">
        <f>HYPERLINK("https://www.boe.es/gazeta/dias/1803/11/25/pdfs/GMD-1803-95.pdf#page=3","Abrir facsímil")</f>
        <v>Abrir facsímil</v>
      </c>
      <c r="K3123" s="15" t="s">
        <v>23</v>
      </c>
    </row>
    <row r="3124" spans="1:11" ht="42" customHeight="1">
      <c r="A3124" s="4" t="s">
        <v>7882</v>
      </c>
      <c r="B3124" s="5" t="s">
        <v>7883</v>
      </c>
      <c r="C3124" s="5" t="s">
        <v>51</v>
      </c>
      <c r="D3124" s="5" t="s">
        <v>52</v>
      </c>
      <c r="E3124" s="5" t="s">
        <v>657</v>
      </c>
      <c r="F3124" s="9">
        <v>24</v>
      </c>
      <c r="G3124" s="9">
        <v>256</v>
      </c>
      <c r="H3124" s="5" t="s">
        <v>21</v>
      </c>
      <c r="I3124" s="5" t="s">
        <v>7884</v>
      </c>
      <c r="J3124" s="12" t="str">
        <f>HYPERLINK("https://www.boe.es/gazeta/dias/1803/03/25/pdfs/GMD-1803-24.pdf#page=8","Abrir facsímil")</f>
        <v>Abrir facsímil</v>
      </c>
      <c r="K3124" s="15" t="s">
        <v>23</v>
      </c>
    </row>
    <row r="3125" spans="1:11" ht="42" customHeight="1">
      <c r="A3125" s="4" t="s">
        <v>7885</v>
      </c>
      <c r="B3125" s="5" t="s">
        <v>7886</v>
      </c>
      <c r="C3125" s="5" t="s">
        <v>18</v>
      </c>
      <c r="D3125" s="5" t="s">
        <v>19</v>
      </c>
      <c r="E3125" s="5" t="s">
        <v>109</v>
      </c>
      <c r="F3125" s="9">
        <v>102</v>
      </c>
      <c r="G3125" s="9">
        <v>1096</v>
      </c>
      <c r="H3125" s="5" t="s">
        <v>21</v>
      </c>
      <c r="I3125" s="5" t="s">
        <v>7887</v>
      </c>
      <c r="J3125" s="12" t="str">
        <f>HYPERLINK("https://www.boe.es/gazeta/dias/1803/12/20/pdfs/GMD-1803-102.pdf#page=8","Abrir facsímil")</f>
        <v>Abrir facsímil</v>
      </c>
      <c r="K3125" s="15" t="s">
        <v>23</v>
      </c>
    </row>
    <row r="3126" spans="1:11" ht="42" customHeight="1">
      <c r="A3126" s="4" t="s">
        <v>7888</v>
      </c>
      <c r="B3126" s="5" t="s">
        <v>7889</v>
      </c>
      <c r="C3126" s="5" t="s">
        <v>26</v>
      </c>
      <c r="D3126" s="5" t="s">
        <v>27</v>
      </c>
      <c r="E3126" s="5" t="s">
        <v>361</v>
      </c>
      <c r="F3126" s="9">
        <v>62</v>
      </c>
      <c r="G3126" s="9">
        <v>675</v>
      </c>
      <c r="H3126" s="5" t="s">
        <v>21</v>
      </c>
      <c r="I3126" s="5" t="s">
        <v>7890</v>
      </c>
      <c r="J3126" s="12" t="str">
        <f>HYPERLINK("https://www.boe.es/gazeta/dias/1803/08/05/pdfs/GMD-1803-62.pdf#page=7","Abrir facsímil")</f>
        <v>Abrir facsímil</v>
      </c>
      <c r="K3126" s="15" t="s">
        <v>23</v>
      </c>
    </row>
    <row r="3127" spans="1:11" ht="42" customHeight="1">
      <c r="A3127" s="4" t="s">
        <v>7891</v>
      </c>
      <c r="B3127" s="5" t="s">
        <v>7891</v>
      </c>
      <c r="C3127" s="5" t="s">
        <v>40</v>
      </c>
      <c r="D3127" s="5" t="s">
        <v>41</v>
      </c>
      <c r="E3127" s="5" t="s">
        <v>189</v>
      </c>
      <c r="F3127" s="9">
        <v>9</v>
      </c>
      <c r="G3127" s="9">
        <v>86</v>
      </c>
      <c r="H3127" s="5" t="s">
        <v>21</v>
      </c>
      <c r="I3127" s="5" t="s">
        <v>7892</v>
      </c>
      <c r="J3127" s="12" t="str">
        <f>HYPERLINK("https://www.boe.es/gazeta/dias/1803/02/01/pdfs/GMD-1803-9.pdf#page=2","Abrir facsímil")</f>
        <v>Abrir facsímil</v>
      </c>
      <c r="K3127" s="15" t="s">
        <v>23</v>
      </c>
    </row>
    <row r="3128" spans="1:11" ht="42" customHeight="1">
      <c r="A3128" s="4" t="s">
        <v>7893</v>
      </c>
      <c r="B3128" s="5" t="s">
        <v>7893</v>
      </c>
      <c r="C3128" s="5" t="s">
        <v>40</v>
      </c>
      <c r="D3128" s="5" t="s">
        <v>41</v>
      </c>
      <c r="E3128" s="5" t="s">
        <v>278</v>
      </c>
      <c r="F3128" s="9">
        <v>46</v>
      </c>
      <c r="G3128" s="9">
        <v>477</v>
      </c>
      <c r="H3128" s="5" t="s">
        <v>21</v>
      </c>
      <c r="I3128" s="5" t="s">
        <v>7894</v>
      </c>
      <c r="J3128" s="12" t="str">
        <f>HYPERLINK("https://www.boe.es/gazeta/dias/1803/06/10/pdfs/GMD-1803-46.pdf#page=1","Abrir facsímil")</f>
        <v>Abrir facsímil</v>
      </c>
      <c r="K3128" s="15" t="s">
        <v>23</v>
      </c>
    </row>
    <row r="3129" spans="1:11" ht="42" customHeight="1">
      <c r="A3129" s="4" t="s">
        <v>7895</v>
      </c>
      <c r="B3129" s="5" t="s">
        <v>7895</v>
      </c>
      <c r="C3129" s="5" t="s">
        <v>40</v>
      </c>
      <c r="D3129" s="5" t="s">
        <v>41</v>
      </c>
      <c r="E3129" s="5" t="s">
        <v>493</v>
      </c>
      <c r="F3129" s="9">
        <v>104</v>
      </c>
      <c r="G3129" s="9">
        <v>1109</v>
      </c>
      <c r="H3129" s="5" t="s">
        <v>21</v>
      </c>
      <c r="I3129" s="5" t="s">
        <v>7896</v>
      </c>
      <c r="J3129" s="12" t="str">
        <f>HYPERLINK("https://www.boe.es/gazeta/dias/1803/12/27/pdfs/GMD-1803-104.pdf#page=1","Abrir facsímil")</f>
        <v>Abrir facsímil</v>
      </c>
      <c r="K3129" s="15" t="s">
        <v>23</v>
      </c>
    </row>
    <row r="3130" spans="1:11" ht="42" customHeight="1">
      <c r="A3130" s="4" t="s">
        <v>7897</v>
      </c>
      <c r="B3130" s="5" t="s">
        <v>7897</v>
      </c>
      <c r="C3130" s="5" t="s">
        <v>26</v>
      </c>
      <c r="D3130" s="5" t="s">
        <v>27</v>
      </c>
      <c r="E3130" s="5" t="s">
        <v>369</v>
      </c>
      <c r="F3130" s="9">
        <v>100</v>
      </c>
      <c r="G3130" s="9">
        <v>1067</v>
      </c>
      <c r="H3130" s="5" t="s">
        <v>21</v>
      </c>
      <c r="I3130" s="5" t="s">
        <v>7898</v>
      </c>
      <c r="J3130" s="12" t="str">
        <f>HYPERLINK("https://www.boe.es/gazeta/dias/1803/12/13/pdfs/GMD-1803-100.pdf#page=3","Abrir facsímil")</f>
        <v>Abrir facsímil</v>
      </c>
      <c r="K3130" s="15" t="s">
        <v>23</v>
      </c>
    </row>
    <row r="3131" spans="1:11" ht="42" customHeight="1">
      <c r="A3131" s="4" t="s">
        <v>7899</v>
      </c>
      <c r="B3131" s="5" t="s">
        <v>7899</v>
      </c>
      <c r="C3131" s="5" t="s">
        <v>40</v>
      </c>
      <c r="D3131" s="5" t="s">
        <v>41</v>
      </c>
      <c r="E3131" s="5" t="s">
        <v>340</v>
      </c>
      <c r="F3131" s="9">
        <v>55</v>
      </c>
      <c r="G3131" s="9">
        <v>595</v>
      </c>
      <c r="H3131" s="5" t="s">
        <v>21</v>
      </c>
      <c r="I3131" s="5" t="s">
        <v>7900</v>
      </c>
      <c r="J3131" s="12" t="str">
        <f>HYPERLINK("https://www.boe.es/gazeta/dias/1803/07/12/pdfs/GMD-1803-55.pdf#page=3","Abrir facsímil")</f>
        <v>Abrir facsímil</v>
      </c>
      <c r="K3131" s="15" t="s">
        <v>23</v>
      </c>
    </row>
    <row r="3132" spans="1:11" ht="42" customHeight="1">
      <c r="A3132" s="4" t="s">
        <v>7901</v>
      </c>
      <c r="B3132" s="5" t="s">
        <v>7901</v>
      </c>
      <c r="C3132" s="5" t="s">
        <v>26</v>
      </c>
      <c r="D3132" s="5" t="s">
        <v>27</v>
      </c>
      <c r="E3132" s="5" t="s">
        <v>207</v>
      </c>
      <c r="F3132" s="9">
        <v>27</v>
      </c>
      <c r="G3132" s="9">
        <v>286</v>
      </c>
      <c r="H3132" s="5" t="s">
        <v>21</v>
      </c>
      <c r="I3132" s="5" t="s">
        <v>7902</v>
      </c>
      <c r="J3132" s="12" t="str">
        <f>HYPERLINK("https://www.boe.es/gazeta/dias/1803/04/05/pdfs/GMD-1803-27.pdf#page=2","Abrir facsímil")</f>
        <v>Abrir facsímil</v>
      </c>
      <c r="K3132" s="15" t="s">
        <v>23</v>
      </c>
    </row>
    <row r="3133" spans="1:11" ht="42" customHeight="1">
      <c r="A3133" s="4" t="s">
        <v>7901</v>
      </c>
      <c r="B3133" s="5" t="s">
        <v>7901</v>
      </c>
      <c r="C3133" s="5" t="s">
        <v>26</v>
      </c>
      <c r="D3133" s="5" t="s">
        <v>27</v>
      </c>
      <c r="E3133" s="5" t="s">
        <v>207</v>
      </c>
      <c r="F3133" s="9">
        <v>27</v>
      </c>
      <c r="G3133" s="9">
        <v>287</v>
      </c>
      <c r="H3133" s="5" t="s">
        <v>21</v>
      </c>
      <c r="I3133" s="5" t="s">
        <v>7903</v>
      </c>
      <c r="J3133" s="12" t="str">
        <f>HYPERLINK("https://www.boe.es/gazeta/dias/1803/04/05/pdfs/GMD-1803-27.pdf#page=3","Abrir facsímil")</f>
        <v>Abrir facsímil</v>
      </c>
      <c r="K3133" s="15" t="s">
        <v>23</v>
      </c>
    </row>
    <row r="3134" spans="1:11" ht="42" customHeight="1">
      <c r="A3134" s="4" t="s">
        <v>7901</v>
      </c>
      <c r="B3134" s="5" t="s">
        <v>7901</v>
      </c>
      <c r="C3134" s="5" t="s">
        <v>40</v>
      </c>
      <c r="D3134" s="5" t="s">
        <v>41</v>
      </c>
      <c r="E3134" s="5" t="s">
        <v>83</v>
      </c>
      <c r="F3134" s="9">
        <v>28</v>
      </c>
      <c r="G3134" s="9">
        <v>298</v>
      </c>
      <c r="H3134" s="5" t="s">
        <v>21</v>
      </c>
      <c r="I3134" s="5" t="s">
        <v>7904</v>
      </c>
      <c r="J3134" s="12" t="str">
        <f>HYPERLINK("https://www.boe.es/gazeta/dias/1803/04/08/pdfs/GMD-1803-28.pdf#page=2","Abrir facsímil")</f>
        <v>Abrir facsímil</v>
      </c>
      <c r="K3134" s="15" t="s">
        <v>23</v>
      </c>
    </row>
    <row r="3135" spans="1:11" ht="42" customHeight="1">
      <c r="A3135" s="4" t="s">
        <v>7901</v>
      </c>
      <c r="B3135" s="5" t="s">
        <v>7901</v>
      </c>
      <c r="C3135" s="5" t="s">
        <v>40</v>
      </c>
      <c r="D3135" s="5" t="s">
        <v>41</v>
      </c>
      <c r="E3135" s="5" t="s">
        <v>99</v>
      </c>
      <c r="F3135" s="9">
        <v>29</v>
      </c>
      <c r="G3135" s="9">
        <v>306</v>
      </c>
      <c r="H3135" s="5" t="s">
        <v>21</v>
      </c>
      <c r="I3135" s="5" t="s">
        <v>7905</v>
      </c>
      <c r="J3135" s="12" t="str">
        <f>HYPERLINK("https://www.boe.es/gazeta/dias/1803/04/12/pdfs/GMD-1803-29.pdf#page=2","Abrir facsímil")</f>
        <v>Abrir facsímil</v>
      </c>
      <c r="K3135" s="15" t="s">
        <v>23</v>
      </c>
    </row>
    <row r="3136" spans="1:11" ht="42" customHeight="1">
      <c r="A3136" s="4" t="s">
        <v>7901</v>
      </c>
      <c r="B3136" s="5" t="s">
        <v>7901</v>
      </c>
      <c r="C3136" s="5" t="s">
        <v>40</v>
      </c>
      <c r="D3136" s="5" t="s">
        <v>41</v>
      </c>
      <c r="E3136" s="5" t="s">
        <v>191</v>
      </c>
      <c r="F3136" s="9">
        <v>34</v>
      </c>
      <c r="G3136" s="9">
        <v>354</v>
      </c>
      <c r="H3136" s="5" t="s">
        <v>21</v>
      </c>
      <c r="I3136" s="5" t="s">
        <v>7906</v>
      </c>
      <c r="J3136" s="12" t="str">
        <f>HYPERLINK("https://www.boe.es/gazeta/dias/1803/04/29/pdfs/GMD-1803-34.pdf#page=2","Abrir facsímil")</f>
        <v>Abrir facsímil</v>
      </c>
      <c r="K3136" s="15" t="s">
        <v>23</v>
      </c>
    </row>
    <row r="3137" spans="1:11" ht="42" customHeight="1">
      <c r="A3137" s="4" t="s">
        <v>7907</v>
      </c>
      <c r="B3137" s="5" t="s">
        <v>7907</v>
      </c>
      <c r="C3137" s="5" t="s">
        <v>46</v>
      </c>
      <c r="D3137" s="5" t="s">
        <v>19</v>
      </c>
      <c r="E3137" s="5" t="s">
        <v>630</v>
      </c>
      <c r="F3137" s="9">
        <v>85</v>
      </c>
      <c r="G3137" s="9">
        <v>918</v>
      </c>
      <c r="H3137" s="5" t="s">
        <v>21</v>
      </c>
      <c r="I3137" s="5" t="s">
        <v>7908</v>
      </c>
      <c r="J3137" s="12" t="str">
        <f>HYPERLINK("https://www.boe.es/gazeta/dias/1803/10/21/pdfs/GMD-1803-85.pdf#page=10","Abrir facsímil")</f>
        <v>Abrir facsímil</v>
      </c>
      <c r="K3137" s="15" t="s">
        <v>23</v>
      </c>
    </row>
    <row r="3138" spans="1:11" ht="42" customHeight="1">
      <c r="A3138" s="4" t="s">
        <v>7909</v>
      </c>
      <c r="B3138" s="5" t="s">
        <v>7909</v>
      </c>
      <c r="C3138" s="5" t="s">
        <v>40</v>
      </c>
      <c r="D3138" s="5" t="s">
        <v>41</v>
      </c>
      <c r="E3138" s="5" t="s">
        <v>75</v>
      </c>
      <c r="F3138" s="9">
        <v>56</v>
      </c>
      <c r="G3138" s="9">
        <v>606</v>
      </c>
      <c r="H3138" s="5" t="s">
        <v>21</v>
      </c>
      <c r="I3138" s="5" t="s">
        <v>7910</v>
      </c>
      <c r="J3138" s="12" t="str">
        <f>HYPERLINK("https://www.boe.es/gazeta/dias/1803/07/15/pdfs/GMD-1803-56.pdf#page=2","Abrir facsímil")</f>
        <v>Abrir facsímil</v>
      </c>
      <c r="K3138" s="15" t="s">
        <v>23</v>
      </c>
    </row>
    <row r="3139" spans="1:11" ht="42" customHeight="1">
      <c r="A3139" s="4" t="s">
        <v>7911</v>
      </c>
      <c r="B3139" s="5" t="s">
        <v>7911</v>
      </c>
      <c r="C3139" s="5" t="s">
        <v>40</v>
      </c>
      <c r="D3139" s="5" t="s">
        <v>41</v>
      </c>
      <c r="E3139" s="5" t="s">
        <v>910</v>
      </c>
      <c r="F3139" s="9">
        <v>66</v>
      </c>
      <c r="G3139" s="9">
        <v>714</v>
      </c>
      <c r="H3139" s="5" t="s">
        <v>21</v>
      </c>
      <c r="I3139" s="5" t="s">
        <v>7912</v>
      </c>
      <c r="J3139" s="12" t="str">
        <f>HYPERLINK("https://www.boe.es/gazeta/dias/1803/08/19/pdfs/GMD-1803-66.pdf#page=2","Abrir facsímil")</f>
        <v>Abrir facsímil</v>
      </c>
      <c r="K3139" s="15" t="s">
        <v>23</v>
      </c>
    </row>
    <row r="3140" spans="1:11" ht="42" customHeight="1">
      <c r="A3140" s="4" t="s">
        <v>7913</v>
      </c>
      <c r="B3140" s="5" t="s">
        <v>7913</v>
      </c>
      <c r="C3140" s="5" t="s">
        <v>40</v>
      </c>
      <c r="D3140" s="5" t="s">
        <v>41</v>
      </c>
      <c r="E3140" s="5" t="s">
        <v>152</v>
      </c>
      <c r="F3140" s="9">
        <v>16</v>
      </c>
      <c r="G3140" s="9">
        <v>164</v>
      </c>
      <c r="H3140" s="5" t="s">
        <v>21</v>
      </c>
      <c r="I3140" s="5" t="s">
        <v>7914</v>
      </c>
      <c r="J3140" s="12" t="str">
        <f>HYPERLINK("https://www.boe.es/gazeta/dias/1803/02/25/pdfs/GMD-1803-16.pdf#page=4","Abrir facsímil")</f>
        <v>Abrir facsímil</v>
      </c>
      <c r="K3140" s="15" t="s">
        <v>23</v>
      </c>
    </row>
    <row r="3141" spans="1:11" ht="42" customHeight="1">
      <c r="A3141" s="4" t="s">
        <v>7913</v>
      </c>
      <c r="B3141" s="5" t="s">
        <v>7913</v>
      </c>
      <c r="C3141" s="5" t="s">
        <v>40</v>
      </c>
      <c r="D3141" s="5" t="s">
        <v>41</v>
      </c>
      <c r="E3141" s="5" t="s">
        <v>83</v>
      </c>
      <c r="F3141" s="9">
        <v>28</v>
      </c>
      <c r="G3141" s="9">
        <v>297</v>
      </c>
      <c r="H3141" s="5" t="s">
        <v>21</v>
      </c>
      <c r="I3141" s="5" t="s">
        <v>7915</v>
      </c>
      <c r="J3141" s="12" t="str">
        <f>HYPERLINK("https://www.boe.es/gazeta/dias/1803/04/08/pdfs/GMD-1803-28.pdf#page=1","Abrir facsímil")</f>
        <v>Abrir facsímil</v>
      </c>
      <c r="K3141" s="15" t="s">
        <v>23</v>
      </c>
    </row>
    <row r="3142" spans="1:11" ht="42" customHeight="1">
      <c r="A3142" s="4" t="s">
        <v>7916</v>
      </c>
      <c r="B3142" s="5" t="s">
        <v>7916</v>
      </c>
      <c r="C3142" s="5" t="s">
        <v>40</v>
      </c>
      <c r="D3142" s="5" t="s">
        <v>41</v>
      </c>
      <c r="E3142" s="5" t="s">
        <v>726</v>
      </c>
      <c r="F3142" s="9">
        <v>78</v>
      </c>
      <c r="G3142" s="9">
        <v>840</v>
      </c>
      <c r="H3142" s="5" t="s">
        <v>21</v>
      </c>
      <c r="I3142" s="5" t="s">
        <v>7917</v>
      </c>
      <c r="J3142" s="12" t="str">
        <f>HYPERLINK("https://www.boe.es/gazeta/dias/1803/09/27/pdfs/GMD-1803-78.pdf#page=4","Abrir facsímil")</f>
        <v>Abrir facsímil</v>
      </c>
      <c r="K3142" s="15" t="s">
        <v>23</v>
      </c>
    </row>
    <row r="3143" spans="1:11" ht="42" customHeight="1">
      <c r="A3143" s="4" t="s">
        <v>7918</v>
      </c>
      <c r="B3143" s="5" t="s">
        <v>7918</v>
      </c>
      <c r="C3143" s="5" t="s">
        <v>40</v>
      </c>
      <c r="D3143" s="5" t="s">
        <v>41</v>
      </c>
      <c r="E3143" s="5" t="s">
        <v>174</v>
      </c>
      <c r="F3143" s="9">
        <v>21</v>
      </c>
      <c r="G3143" s="9">
        <v>219</v>
      </c>
      <c r="H3143" s="5" t="s">
        <v>21</v>
      </c>
      <c r="I3143" s="5" t="s">
        <v>7919</v>
      </c>
      <c r="J3143" s="12" t="str">
        <f>HYPERLINK("https://www.boe.es/gazeta/dias/1803/03/15/pdfs/GMD-1803-21.pdf#page=3","Abrir facsímil")</f>
        <v>Abrir facsímil</v>
      </c>
      <c r="K3143" s="15" t="s">
        <v>23</v>
      </c>
    </row>
    <row r="3144" spans="1:11" ht="42" customHeight="1">
      <c r="A3144" s="4" t="s">
        <v>7920</v>
      </c>
      <c r="B3144" s="5" t="s">
        <v>7920</v>
      </c>
      <c r="C3144" s="5" t="s">
        <v>40</v>
      </c>
      <c r="D3144" s="5" t="s">
        <v>41</v>
      </c>
      <c r="E3144" s="5" t="s">
        <v>477</v>
      </c>
      <c r="F3144" s="9">
        <v>48</v>
      </c>
      <c r="G3144" s="9">
        <v>506</v>
      </c>
      <c r="H3144" s="5" t="s">
        <v>21</v>
      </c>
      <c r="I3144" s="5" t="s">
        <v>7921</v>
      </c>
      <c r="J3144" s="12" t="str">
        <f>HYPERLINK("https://www.boe.es/gazeta/dias/1803/06/17/pdfs/GMD-1803-48.pdf#page=6","Abrir facsímil")</f>
        <v>Abrir facsímil</v>
      </c>
      <c r="K3144" s="15" t="s">
        <v>23</v>
      </c>
    </row>
    <row r="3145" spans="1:11" ht="42" customHeight="1">
      <c r="A3145" s="4" t="s">
        <v>7922</v>
      </c>
      <c r="B3145" s="5" t="s">
        <v>7922</v>
      </c>
      <c r="C3145" s="5" t="s">
        <v>40</v>
      </c>
      <c r="D3145" s="5" t="s">
        <v>41</v>
      </c>
      <c r="E3145" s="5" t="s">
        <v>57</v>
      </c>
      <c r="F3145" s="9">
        <v>51</v>
      </c>
      <c r="G3145" s="9">
        <v>548</v>
      </c>
      <c r="H3145" s="5" t="s">
        <v>21</v>
      </c>
      <c r="I3145" s="5" t="s">
        <v>7923</v>
      </c>
      <c r="J3145" s="12" t="str">
        <f>HYPERLINK("https://www.boe.es/gazeta/dias/1803/06/28/pdfs/GMD-1803-51.pdf#page=4","Abrir facsímil")</f>
        <v>Abrir facsímil</v>
      </c>
      <c r="K3145" s="15" t="s">
        <v>23</v>
      </c>
    </row>
    <row r="3146" spans="1:11" ht="42" customHeight="1">
      <c r="A3146" s="4" t="s">
        <v>7924</v>
      </c>
      <c r="B3146" s="5" t="s">
        <v>7924</v>
      </c>
      <c r="C3146" s="5" t="s">
        <v>51</v>
      </c>
      <c r="D3146" s="5" t="s">
        <v>52</v>
      </c>
      <c r="E3146" s="5" t="s">
        <v>317</v>
      </c>
      <c r="F3146" s="9">
        <v>12</v>
      </c>
      <c r="G3146" s="9">
        <v>122</v>
      </c>
      <c r="H3146" s="5" t="s">
        <v>21</v>
      </c>
      <c r="I3146" s="5" t="s">
        <v>7925</v>
      </c>
      <c r="J3146" s="12" t="str">
        <f>HYPERLINK("https://www.boe.es/gazeta/dias/1803/02/11/pdfs/GMD-1803-12.pdf#page=10","Abrir facsímil")</f>
        <v>Abrir facsímil</v>
      </c>
      <c r="K3146" s="15" t="s">
        <v>23</v>
      </c>
    </row>
    <row r="3147" spans="1:11" ht="42" customHeight="1">
      <c r="A3147" s="4" t="s">
        <v>7926</v>
      </c>
      <c r="B3147" s="5" t="s">
        <v>7927</v>
      </c>
      <c r="C3147" s="5" t="s">
        <v>46</v>
      </c>
      <c r="D3147" s="5" t="s">
        <v>19</v>
      </c>
      <c r="E3147" s="5" t="s">
        <v>340</v>
      </c>
      <c r="F3147" s="9">
        <v>55</v>
      </c>
      <c r="G3147" s="9">
        <v>600</v>
      </c>
      <c r="H3147" s="5" t="s">
        <v>21</v>
      </c>
      <c r="I3147" s="5" t="s">
        <v>7928</v>
      </c>
      <c r="J3147" s="12" t="str">
        <f>HYPERLINK("https://www.boe.es/gazeta/dias/1803/07/12/pdfs/GMD-1803-55.pdf#page=8","Abrir facsímil")</f>
        <v>Abrir facsímil</v>
      </c>
      <c r="K3147" s="15" t="s">
        <v>23</v>
      </c>
    </row>
    <row r="3148" spans="1:11" ht="42" customHeight="1">
      <c r="A3148" s="4" t="s">
        <v>7929</v>
      </c>
      <c r="B3148" s="5" t="s">
        <v>7929</v>
      </c>
      <c r="C3148" s="5" t="s">
        <v>26</v>
      </c>
      <c r="D3148" s="5" t="s">
        <v>27</v>
      </c>
      <c r="E3148" s="5" t="s">
        <v>102</v>
      </c>
      <c r="F3148" s="9">
        <v>31</v>
      </c>
      <c r="G3148" s="9">
        <v>324</v>
      </c>
      <c r="H3148" s="5" t="s">
        <v>21</v>
      </c>
      <c r="I3148" s="5" t="s">
        <v>7930</v>
      </c>
      <c r="J3148" s="12" t="str">
        <f>HYPERLINK("https://www.boe.es/gazeta/dias/1803/04/19/pdfs/GMD-1803-31.pdf#page=4","Abrir facsímil")</f>
        <v>Abrir facsímil</v>
      </c>
      <c r="K3148" s="15" t="s">
        <v>23</v>
      </c>
    </row>
    <row r="3149" spans="1:11" ht="42" customHeight="1">
      <c r="A3149" s="4" t="s">
        <v>7931</v>
      </c>
      <c r="B3149" s="5" t="s">
        <v>7932</v>
      </c>
      <c r="C3149" s="5" t="s">
        <v>26</v>
      </c>
      <c r="D3149" s="5" t="s">
        <v>27</v>
      </c>
      <c r="E3149" s="5" t="s">
        <v>132</v>
      </c>
      <c r="F3149" s="9">
        <v>58</v>
      </c>
      <c r="G3149" s="9">
        <v>638</v>
      </c>
      <c r="H3149" s="5" t="s">
        <v>21</v>
      </c>
      <c r="I3149" s="5" t="s">
        <v>7933</v>
      </c>
      <c r="J3149" s="12" t="str">
        <f>HYPERLINK("https://www.boe.es/gazeta/dias/1803/07/22/pdfs/GMD-1803-58.pdf#page=10","Abrir facsímil")</f>
        <v>Abrir facsímil</v>
      </c>
      <c r="K3149" s="15" t="s">
        <v>23</v>
      </c>
    </row>
    <row r="3150" spans="1:11" ht="42" customHeight="1">
      <c r="A3150" s="4" t="s">
        <v>7934</v>
      </c>
      <c r="B3150" s="5" t="s">
        <v>7935</v>
      </c>
      <c r="C3150" s="5" t="s">
        <v>18</v>
      </c>
      <c r="D3150" s="5" t="s">
        <v>19</v>
      </c>
      <c r="E3150" s="5" t="s">
        <v>160</v>
      </c>
      <c r="F3150" s="9">
        <v>81</v>
      </c>
      <c r="G3150" s="9">
        <v>872</v>
      </c>
      <c r="H3150" s="5" t="s">
        <v>21</v>
      </c>
      <c r="I3150" s="5" t="s">
        <v>7936</v>
      </c>
      <c r="J3150" s="12" t="str">
        <f>HYPERLINK("https://www.boe.es/gazeta/dias/1803/10/07/pdfs/GMD-1803-81.pdf#page=8","Abrir facsímil")</f>
        <v>Abrir facsímil</v>
      </c>
      <c r="K3150" s="15" t="s">
        <v>23</v>
      </c>
    </row>
    <row r="3151" spans="1:11" ht="42" customHeight="1">
      <c r="A3151" s="4" t="s">
        <v>7937</v>
      </c>
      <c r="B3151" s="5" t="s">
        <v>7938</v>
      </c>
      <c r="C3151" s="5" t="s">
        <v>51</v>
      </c>
      <c r="D3151" s="5" t="s">
        <v>52</v>
      </c>
      <c r="E3151" s="5" t="s">
        <v>303</v>
      </c>
      <c r="F3151" s="9">
        <v>8</v>
      </c>
      <c r="G3151" s="9">
        <v>79</v>
      </c>
      <c r="H3151" s="5" t="s">
        <v>21</v>
      </c>
      <c r="I3151" s="5" t="s">
        <v>7939</v>
      </c>
      <c r="J3151" s="12" t="str">
        <f>HYPERLINK("https://www.boe.es/gazeta/dias/1803/01/28/pdfs/GMD-1803-8.pdf#page=7","Abrir facsímil")</f>
        <v>Abrir facsímil</v>
      </c>
      <c r="K3151" s="15" t="s">
        <v>23</v>
      </c>
    </row>
    <row r="3152" spans="1:11" ht="42" customHeight="1">
      <c r="A3152" s="4" t="s">
        <v>7940</v>
      </c>
      <c r="B3152" s="5" t="s">
        <v>7941</v>
      </c>
      <c r="C3152" s="5" t="s">
        <v>40</v>
      </c>
      <c r="D3152" s="5" t="s">
        <v>41</v>
      </c>
      <c r="E3152" s="5" t="s">
        <v>399</v>
      </c>
      <c r="F3152" s="9">
        <v>95</v>
      </c>
      <c r="G3152" s="9">
        <v>1017</v>
      </c>
      <c r="H3152" s="5" t="s">
        <v>21</v>
      </c>
      <c r="I3152" s="5" t="s">
        <v>7942</v>
      </c>
      <c r="J3152" s="12" t="str">
        <f>HYPERLINK("https://www.boe.es/gazeta/dias/1803/11/25/pdfs/GMD-1803-95.pdf#page=5","Abrir facsímil")</f>
        <v>Abrir facsímil</v>
      </c>
      <c r="K3152" s="15" t="s">
        <v>23</v>
      </c>
    </row>
    <row r="3153" spans="1:11" ht="42" customHeight="1">
      <c r="A3153" s="4" t="s">
        <v>7943</v>
      </c>
      <c r="B3153" s="5" t="s">
        <v>7944</v>
      </c>
      <c r="C3153" s="5" t="s">
        <v>18</v>
      </c>
      <c r="D3153" s="5" t="s">
        <v>19</v>
      </c>
      <c r="E3153" s="5" t="s">
        <v>340</v>
      </c>
      <c r="F3153" s="9">
        <v>55</v>
      </c>
      <c r="G3153" s="9">
        <v>602</v>
      </c>
      <c r="H3153" s="5" t="s">
        <v>21</v>
      </c>
      <c r="I3153" s="5" t="s">
        <v>7945</v>
      </c>
      <c r="J3153" s="12" t="str">
        <f>HYPERLINK("https://www.boe.es/gazeta/dias/1803/07/12/pdfs/GMD-1803-55.pdf#page=10","Abrir facsímil")</f>
        <v>Abrir facsímil</v>
      </c>
      <c r="K3153" s="15" t="s">
        <v>23</v>
      </c>
    </row>
    <row r="3154" spans="1:11" ht="42" customHeight="1">
      <c r="A3154" s="4" t="s">
        <v>7946</v>
      </c>
      <c r="B3154" s="5" t="s">
        <v>7947</v>
      </c>
      <c r="C3154" s="5" t="s">
        <v>40</v>
      </c>
      <c r="D3154" s="5" t="s">
        <v>41</v>
      </c>
      <c r="E3154" s="5" t="s">
        <v>493</v>
      </c>
      <c r="F3154" s="9">
        <v>104</v>
      </c>
      <c r="G3154" s="9">
        <v>1115</v>
      </c>
      <c r="H3154" s="5" t="s">
        <v>21</v>
      </c>
      <c r="I3154" s="5" t="s">
        <v>7948</v>
      </c>
      <c r="J3154" s="12" t="str">
        <f>HYPERLINK("https://www.boe.es/gazeta/dias/1803/12/27/pdfs/GMD-1803-104.pdf#page=7","Abrir facsímil")</f>
        <v>Abrir facsímil</v>
      </c>
      <c r="K3154" s="15" t="s">
        <v>23</v>
      </c>
    </row>
    <row r="3155" spans="1:11" ht="42" customHeight="1">
      <c r="A3155" s="4" t="s">
        <v>7949</v>
      </c>
      <c r="B3155" s="5" t="s">
        <v>7949</v>
      </c>
      <c r="C3155" s="5" t="s">
        <v>80</v>
      </c>
      <c r="D3155" s="5" t="s">
        <v>81</v>
      </c>
      <c r="E3155" s="5" t="s">
        <v>113</v>
      </c>
      <c r="F3155" s="9">
        <v>93</v>
      </c>
      <c r="G3155" s="9">
        <v>999</v>
      </c>
      <c r="H3155" s="5" t="s">
        <v>21</v>
      </c>
      <c r="I3155" s="5" t="s">
        <v>7950</v>
      </c>
      <c r="J3155" s="12" t="str">
        <f>HYPERLINK("https://www.boe.es/gazeta/dias/1803/11/18/pdfs/GMD-1803-93.pdf#page=11","Abrir facsímil")</f>
        <v>Abrir facsímil</v>
      </c>
      <c r="K3155" s="15" t="s">
        <v>23</v>
      </c>
    </row>
    <row r="3156" spans="1:11" ht="42" customHeight="1">
      <c r="A3156" s="4" t="s">
        <v>7951</v>
      </c>
      <c r="B3156" s="5" t="s">
        <v>7951</v>
      </c>
      <c r="C3156" s="5" t="s">
        <v>51</v>
      </c>
      <c r="D3156" s="5" t="s">
        <v>52</v>
      </c>
      <c r="E3156" s="5" t="s">
        <v>496</v>
      </c>
      <c r="F3156" s="9">
        <v>90</v>
      </c>
      <c r="G3156" s="9">
        <v>967</v>
      </c>
      <c r="H3156" s="5" t="s">
        <v>21</v>
      </c>
      <c r="I3156" s="5" t="s">
        <v>7952</v>
      </c>
      <c r="J3156" s="12" t="str">
        <f>HYPERLINK("https://www.boe.es/gazeta/dias/1803/11/08/pdfs/GMD-1803-90.pdf#page=7","Abrir facsímil")</f>
        <v>Abrir facsímil</v>
      </c>
      <c r="K3156" s="15" t="s">
        <v>23</v>
      </c>
    </row>
    <row r="3157" spans="1:11" ht="42" customHeight="1">
      <c r="A3157" s="4" t="s">
        <v>7953</v>
      </c>
      <c r="B3157" s="5" t="s">
        <v>7954</v>
      </c>
      <c r="C3157" s="5" t="s">
        <v>51</v>
      </c>
      <c r="D3157" s="5" t="s">
        <v>52</v>
      </c>
      <c r="E3157" s="5" t="s">
        <v>606</v>
      </c>
      <c r="F3157" s="9">
        <v>47</v>
      </c>
      <c r="G3157" s="9">
        <v>500</v>
      </c>
      <c r="H3157" s="5" t="s">
        <v>21</v>
      </c>
      <c r="I3157" s="5" t="s">
        <v>7955</v>
      </c>
      <c r="J3157" s="12" t="str">
        <f>HYPERLINK("https://www.boe.es/gazeta/dias/1803/06/14/pdfs/GMD-1803-47.pdf#page=12","Abrir facsímil")</f>
        <v>Abrir facsímil</v>
      </c>
      <c r="K3157" s="15" t="s">
        <v>23</v>
      </c>
    </row>
    <row r="3158" spans="1:11" ht="42" customHeight="1">
      <c r="A3158" s="4" t="s">
        <v>7956</v>
      </c>
      <c r="B3158" s="5" t="s">
        <v>7957</v>
      </c>
      <c r="C3158" s="5" t="s">
        <v>80</v>
      </c>
      <c r="D3158" s="5" t="s">
        <v>81</v>
      </c>
      <c r="E3158" s="5" t="s">
        <v>1846</v>
      </c>
      <c r="F3158" s="9">
        <v>89</v>
      </c>
      <c r="G3158" s="9">
        <v>960</v>
      </c>
      <c r="H3158" s="5" t="s">
        <v>21</v>
      </c>
      <c r="I3158" s="5" t="s">
        <v>7958</v>
      </c>
      <c r="J3158" s="12" t="str">
        <f>HYPERLINK("https://www.boe.es/gazeta/dias/1803/11/04/pdfs/GMD-1803-89.pdf#page=8","Abrir facsímil")</f>
        <v>Abrir facsímil</v>
      </c>
      <c r="K3158" s="15" t="s">
        <v>23</v>
      </c>
    </row>
    <row r="3159" spans="1:11" ht="42" customHeight="1">
      <c r="A3159" s="4" t="s">
        <v>7959</v>
      </c>
      <c r="B3159" s="5" t="s">
        <v>7960</v>
      </c>
      <c r="C3159" s="5" t="s">
        <v>26</v>
      </c>
      <c r="D3159" s="5" t="s">
        <v>27</v>
      </c>
      <c r="E3159" s="5" t="s">
        <v>189</v>
      </c>
      <c r="F3159" s="9">
        <v>9</v>
      </c>
      <c r="G3159" s="9">
        <v>93</v>
      </c>
      <c r="H3159" s="5" t="s">
        <v>21</v>
      </c>
      <c r="I3159" s="5" t="s">
        <v>7961</v>
      </c>
      <c r="J3159" s="12" t="str">
        <f>HYPERLINK("https://www.boe.es/gazeta/dias/1803/02/01/pdfs/GMD-1803-9.pdf#page=9","Abrir facsímil")</f>
        <v>Abrir facsímil</v>
      </c>
      <c r="K3159" s="15" t="s">
        <v>23</v>
      </c>
    </row>
    <row r="3160" spans="1:11" ht="42" customHeight="1">
      <c r="A3160" s="4" t="s">
        <v>7962</v>
      </c>
      <c r="B3160" s="5" t="s">
        <v>7963</v>
      </c>
      <c r="C3160" s="5" t="s">
        <v>874</v>
      </c>
      <c r="D3160" s="5" t="s">
        <v>875</v>
      </c>
      <c r="E3160" s="5" t="s">
        <v>480</v>
      </c>
      <c r="F3160" s="9">
        <v>87</v>
      </c>
      <c r="G3160" s="9" t="s">
        <v>876</v>
      </c>
      <c r="H3160" s="5" t="s">
        <v>21</v>
      </c>
      <c r="I3160" s="5" t="s">
        <v>7964</v>
      </c>
      <c r="J3160" s="12" t="str">
        <f>HYPERLINK("https://www.boe.es/gazeta/dias/1803/10/28/pdfs/GMD-C-1803-87.pdf#page=1","Abrir facsímil")</f>
        <v>Abrir facsímil</v>
      </c>
      <c r="K3160" s="15" t="s">
        <v>23</v>
      </c>
    </row>
    <row r="3161" spans="1:11" ht="42" customHeight="1">
      <c r="A3161" s="4" t="s">
        <v>7965</v>
      </c>
      <c r="B3161" s="5" t="s">
        <v>7966</v>
      </c>
      <c r="C3161" s="5" t="s">
        <v>26</v>
      </c>
      <c r="D3161" s="5" t="s">
        <v>27</v>
      </c>
      <c r="E3161" s="5" t="s">
        <v>53</v>
      </c>
      <c r="F3161" s="9">
        <v>99</v>
      </c>
      <c r="G3161" s="9">
        <v>1061</v>
      </c>
      <c r="H3161" s="5" t="s">
        <v>21</v>
      </c>
      <c r="I3161" s="5" t="s">
        <v>7967</v>
      </c>
      <c r="J3161" s="12" t="str">
        <f>HYPERLINK("https://www.boe.es/gazeta/dias/1803/12/09/pdfs/GMD-1803-99.pdf#page=9","Abrir facsímil")</f>
        <v>Abrir facsímil</v>
      </c>
      <c r="K3161" s="15" t="s">
        <v>23</v>
      </c>
    </row>
    <row r="3162" spans="1:11" ht="42" customHeight="1">
      <c r="A3162" s="4" t="s">
        <v>7968</v>
      </c>
      <c r="B3162" s="5" t="s">
        <v>7969</v>
      </c>
      <c r="C3162" s="5" t="s">
        <v>26</v>
      </c>
      <c r="D3162" s="5" t="s">
        <v>27</v>
      </c>
      <c r="E3162" s="5" t="s">
        <v>211</v>
      </c>
      <c r="F3162" s="9">
        <v>71</v>
      </c>
      <c r="G3162" s="9">
        <v>769</v>
      </c>
      <c r="H3162" s="5" t="s">
        <v>21</v>
      </c>
      <c r="I3162" s="5" t="s">
        <v>7970</v>
      </c>
      <c r="J3162" s="12" t="str">
        <f>HYPERLINK("https://www.boe.es/gazeta/dias/1803/09/06/pdfs/GMD-1803-71.pdf#page=1","Abrir facsímil")</f>
        <v>Abrir facsímil</v>
      </c>
      <c r="K3162" s="15" t="s">
        <v>23</v>
      </c>
    </row>
    <row r="3163" spans="1:11" ht="42" customHeight="1">
      <c r="A3163" s="4" t="s">
        <v>7971</v>
      </c>
      <c r="B3163" s="5" t="s">
        <v>7972</v>
      </c>
      <c r="C3163" s="5" t="s">
        <v>51</v>
      </c>
      <c r="D3163" s="5" t="s">
        <v>52</v>
      </c>
      <c r="E3163" s="5" t="s">
        <v>555</v>
      </c>
      <c r="F3163" s="9">
        <v>83</v>
      </c>
      <c r="G3163" s="9">
        <v>895</v>
      </c>
      <c r="H3163" s="5" t="s">
        <v>21</v>
      </c>
      <c r="I3163" s="5" t="s">
        <v>7973</v>
      </c>
      <c r="J3163" s="12" t="str">
        <f>HYPERLINK("https://www.boe.es/gazeta/dias/1803/10/14/pdfs/GMD-1803-83.pdf#page=7","Abrir facsímil")</f>
        <v>Abrir facsímil</v>
      </c>
      <c r="K3163" s="15" t="s">
        <v>23</v>
      </c>
    </row>
    <row r="3164" spans="1:11" ht="42" customHeight="1">
      <c r="A3164" s="4" t="s">
        <v>7974</v>
      </c>
      <c r="B3164" s="5" t="s">
        <v>7974</v>
      </c>
      <c r="C3164" s="5" t="s">
        <v>40</v>
      </c>
      <c r="D3164" s="5" t="s">
        <v>41</v>
      </c>
      <c r="E3164" s="5" t="s">
        <v>501</v>
      </c>
      <c r="F3164" s="9">
        <v>22</v>
      </c>
      <c r="G3164" s="9">
        <v>232</v>
      </c>
      <c r="H3164" s="5" t="s">
        <v>21</v>
      </c>
      <c r="I3164" s="5" t="s">
        <v>7975</v>
      </c>
      <c r="J3164" s="12" t="str">
        <f>HYPERLINK("https://www.boe.es/gazeta/dias/1803/03/18/pdfs/GMD-1803-22.pdf#page=4","Abrir facsímil")</f>
        <v>Abrir facsímil</v>
      </c>
      <c r="K3164" s="15" t="s">
        <v>23</v>
      </c>
    </row>
    <row r="3165" spans="1:11" ht="42" customHeight="1">
      <c r="A3165" s="4" t="s">
        <v>7976</v>
      </c>
      <c r="B3165" s="5" t="s">
        <v>7977</v>
      </c>
      <c r="C3165" s="5" t="s">
        <v>26</v>
      </c>
      <c r="D3165" s="5" t="s">
        <v>27</v>
      </c>
      <c r="E3165" s="5" t="s">
        <v>138</v>
      </c>
      <c r="F3165" s="9">
        <v>68</v>
      </c>
      <c r="G3165" s="9">
        <v>742</v>
      </c>
      <c r="H3165" s="5" t="s">
        <v>21</v>
      </c>
      <c r="I3165" s="5" t="s">
        <v>7978</v>
      </c>
      <c r="J3165" s="12" t="str">
        <f>HYPERLINK("https://www.boe.es/gazeta/dias/1803/08/26/pdfs/GMD-1803-68.pdf#page=10","Abrir facsímil")</f>
        <v>Abrir facsímil</v>
      </c>
      <c r="K3165" s="15" t="s">
        <v>23</v>
      </c>
    </row>
    <row r="3166" spans="1:11" ht="42" customHeight="1">
      <c r="A3166" s="4" t="s">
        <v>7979</v>
      </c>
      <c r="B3166" s="5" t="s">
        <v>7980</v>
      </c>
      <c r="C3166" s="5" t="s">
        <v>40</v>
      </c>
      <c r="D3166" s="5" t="s">
        <v>41</v>
      </c>
      <c r="E3166" s="5" t="s">
        <v>657</v>
      </c>
      <c r="F3166" s="9">
        <v>24</v>
      </c>
      <c r="G3166" s="9">
        <v>251</v>
      </c>
      <c r="H3166" s="5" t="s">
        <v>21</v>
      </c>
      <c r="I3166" s="5" t="s">
        <v>7981</v>
      </c>
      <c r="J3166" s="12" t="str">
        <f>HYPERLINK("https://www.boe.es/gazeta/dias/1803/03/25/pdfs/GMD-1803-24.pdf#page=3","Abrir facsímil")</f>
        <v>Abrir facsímil</v>
      </c>
      <c r="K3166" s="15" t="s">
        <v>23</v>
      </c>
    </row>
    <row r="3167" spans="1:11" ht="42" customHeight="1">
      <c r="A3167" s="4" t="s">
        <v>7979</v>
      </c>
      <c r="B3167" s="5" t="s">
        <v>7980</v>
      </c>
      <c r="C3167" s="5" t="s">
        <v>26</v>
      </c>
      <c r="D3167" s="5" t="s">
        <v>27</v>
      </c>
      <c r="E3167" s="5" t="s">
        <v>132</v>
      </c>
      <c r="F3167" s="9">
        <v>58</v>
      </c>
      <c r="G3167" s="9">
        <v>632</v>
      </c>
      <c r="H3167" s="5" t="s">
        <v>21</v>
      </c>
      <c r="I3167" s="5" t="s">
        <v>7982</v>
      </c>
      <c r="J3167" s="12" t="str">
        <f>HYPERLINK("https://www.boe.es/gazeta/dias/1803/07/22/pdfs/GMD-1803-58.pdf#page=4","Abrir facsímil")</f>
        <v>Abrir facsímil</v>
      </c>
      <c r="K3167" s="15" t="s">
        <v>23</v>
      </c>
    </row>
    <row r="3168" spans="1:11" ht="42" customHeight="1">
      <c r="A3168" s="4" t="s">
        <v>7979</v>
      </c>
      <c r="B3168" s="5" t="s">
        <v>7980</v>
      </c>
      <c r="C3168" s="5" t="s">
        <v>40</v>
      </c>
      <c r="D3168" s="5" t="s">
        <v>41</v>
      </c>
      <c r="E3168" s="5" t="s">
        <v>32</v>
      </c>
      <c r="F3168" s="9">
        <v>74</v>
      </c>
      <c r="G3168" s="9">
        <v>799</v>
      </c>
      <c r="H3168" s="5" t="s">
        <v>21</v>
      </c>
      <c r="I3168" s="5" t="s">
        <v>7983</v>
      </c>
      <c r="J3168" s="12" t="str">
        <f>HYPERLINK("https://www.boe.es/gazeta/dias/1803/09/13/pdfs/GMD-1803-74.pdf#page=3","Abrir facsímil")</f>
        <v>Abrir facsímil</v>
      </c>
      <c r="K3168" s="15" t="s">
        <v>23</v>
      </c>
    </row>
    <row r="3169" spans="1:11" ht="42" customHeight="1">
      <c r="A3169" s="4" t="s">
        <v>7984</v>
      </c>
      <c r="B3169" s="5" t="s">
        <v>7984</v>
      </c>
      <c r="C3169" s="5" t="s">
        <v>80</v>
      </c>
      <c r="D3169" s="5" t="s">
        <v>81</v>
      </c>
      <c r="E3169" s="5" t="s">
        <v>148</v>
      </c>
      <c r="F3169" s="9">
        <v>15</v>
      </c>
      <c r="G3169" s="9">
        <v>155</v>
      </c>
      <c r="H3169" s="5" t="s">
        <v>21</v>
      </c>
      <c r="I3169" s="5" t="s">
        <v>7985</v>
      </c>
      <c r="J3169" s="12" t="str">
        <f>HYPERLINK("https://www.boe.es/gazeta/dias/1803/02/22/pdfs/GMD-1803-15.pdf#page=7","Abrir facsímil")</f>
        <v>Abrir facsímil</v>
      </c>
      <c r="K3169" s="15" t="s">
        <v>23</v>
      </c>
    </row>
    <row r="3170" spans="1:11" ht="42" customHeight="1">
      <c r="A3170" s="4" t="s">
        <v>7984</v>
      </c>
      <c r="B3170" s="5" t="s">
        <v>7984</v>
      </c>
      <c r="C3170" s="5" t="s">
        <v>40</v>
      </c>
      <c r="D3170" s="5" t="s">
        <v>41</v>
      </c>
      <c r="E3170" s="5" t="s">
        <v>207</v>
      </c>
      <c r="F3170" s="9">
        <v>27</v>
      </c>
      <c r="G3170" s="9">
        <v>289</v>
      </c>
      <c r="H3170" s="5" t="s">
        <v>21</v>
      </c>
      <c r="I3170" s="5" t="s">
        <v>7986</v>
      </c>
      <c r="J3170" s="12" t="str">
        <f>HYPERLINK("https://www.boe.es/gazeta/dias/1803/04/05/pdfs/GMD-1803-27.pdf#page=5","Abrir facsímil")</f>
        <v>Abrir facsímil</v>
      </c>
      <c r="K3170" s="15" t="s">
        <v>23</v>
      </c>
    </row>
    <row r="3171" spans="1:11" ht="42" customHeight="1">
      <c r="A3171" s="4" t="s">
        <v>7987</v>
      </c>
      <c r="B3171" s="5" t="s">
        <v>7987</v>
      </c>
      <c r="C3171" s="5" t="s">
        <v>40</v>
      </c>
      <c r="D3171" s="5" t="s">
        <v>41</v>
      </c>
      <c r="E3171" s="5" t="s">
        <v>321</v>
      </c>
      <c r="F3171" s="9">
        <v>94</v>
      </c>
      <c r="G3171" s="9">
        <v>1005</v>
      </c>
      <c r="H3171" s="5" t="s">
        <v>21</v>
      </c>
      <c r="I3171" s="5" t="s">
        <v>7988</v>
      </c>
      <c r="J3171" s="12" t="str">
        <f>HYPERLINK("https://www.boe.es/gazeta/dias/1803/11/22/pdfs/GMD-1803-94.pdf#page=5","Abrir facsímil")</f>
        <v>Abrir facsímil</v>
      </c>
      <c r="K3171" s="15" t="s">
        <v>23</v>
      </c>
    </row>
    <row r="3172" spans="1:11" ht="42" customHeight="1">
      <c r="A3172" s="4" t="s">
        <v>7989</v>
      </c>
      <c r="B3172" s="5" t="s">
        <v>7990</v>
      </c>
      <c r="C3172" s="5" t="s">
        <v>80</v>
      </c>
      <c r="D3172" s="5" t="s">
        <v>81</v>
      </c>
      <c r="E3172" s="5" t="s">
        <v>214</v>
      </c>
      <c r="F3172" s="9">
        <v>17</v>
      </c>
      <c r="G3172" s="9">
        <v>180</v>
      </c>
      <c r="H3172" s="5" t="s">
        <v>21</v>
      </c>
      <c r="I3172" s="5" t="s">
        <v>7991</v>
      </c>
      <c r="J3172" s="12" t="str">
        <f>HYPERLINK("https://www.boe.es/gazeta/dias/1803/03/01/pdfs/GMD-1803-17.pdf#page=12","Abrir facsímil")</f>
        <v>Abrir facsímil</v>
      </c>
      <c r="K3172" s="15" t="s">
        <v>23</v>
      </c>
    </row>
    <row r="3173" spans="1:11" ht="42" customHeight="1">
      <c r="A3173" s="4" t="s">
        <v>7989</v>
      </c>
      <c r="B3173" s="5" t="s">
        <v>7990</v>
      </c>
      <c r="C3173" s="5" t="s">
        <v>80</v>
      </c>
      <c r="D3173" s="5" t="s">
        <v>81</v>
      </c>
      <c r="E3173" s="5" t="s">
        <v>657</v>
      </c>
      <c r="F3173" s="9">
        <v>24</v>
      </c>
      <c r="G3173" s="9">
        <v>260</v>
      </c>
      <c r="H3173" s="5" t="s">
        <v>21</v>
      </c>
      <c r="I3173" s="5" t="s">
        <v>7992</v>
      </c>
      <c r="J3173" s="12" t="str">
        <f>HYPERLINK("https://www.boe.es/gazeta/dias/1803/03/25/pdfs/GMD-1803-24.pdf#page=12","Abrir facsímil")</f>
        <v>Abrir facsímil</v>
      </c>
      <c r="K3173" s="15" t="s">
        <v>23</v>
      </c>
    </row>
    <row r="3174" spans="1:11" ht="42" customHeight="1">
      <c r="A3174" s="4" t="s">
        <v>7989</v>
      </c>
      <c r="B3174" s="5" t="s">
        <v>7990</v>
      </c>
      <c r="C3174" s="5" t="s">
        <v>80</v>
      </c>
      <c r="D3174" s="5" t="s">
        <v>81</v>
      </c>
      <c r="E3174" s="5" t="s">
        <v>102</v>
      </c>
      <c r="F3174" s="9">
        <v>31</v>
      </c>
      <c r="G3174" s="9">
        <v>328</v>
      </c>
      <c r="H3174" s="5" t="s">
        <v>21</v>
      </c>
      <c r="I3174" s="5" t="s">
        <v>7993</v>
      </c>
      <c r="J3174" s="12" t="str">
        <f>HYPERLINK("https://www.boe.es/gazeta/dias/1803/04/19/pdfs/GMD-1803-31.pdf#page=8","Abrir facsímil")</f>
        <v>Abrir facsímil</v>
      </c>
      <c r="K3174" s="15" t="s">
        <v>23</v>
      </c>
    </row>
    <row r="3175" spans="1:11" ht="42" customHeight="1">
      <c r="A3175" s="4" t="s">
        <v>7989</v>
      </c>
      <c r="B3175" s="5" t="s">
        <v>7990</v>
      </c>
      <c r="C3175" s="5" t="s">
        <v>51</v>
      </c>
      <c r="D3175" s="5" t="s">
        <v>52</v>
      </c>
      <c r="E3175" s="5" t="s">
        <v>389</v>
      </c>
      <c r="F3175" s="9">
        <v>41</v>
      </c>
      <c r="G3175" s="9">
        <v>432</v>
      </c>
      <c r="H3175" s="5" t="s">
        <v>21</v>
      </c>
      <c r="I3175" s="5" t="s">
        <v>7994</v>
      </c>
      <c r="J3175" s="12" t="str">
        <f>HYPERLINK("https://www.boe.es/gazeta/dias/1803/05/24/pdfs/GMD-1803-41.pdf#page=8","Abrir facsímil")</f>
        <v>Abrir facsímil</v>
      </c>
      <c r="K3175" s="15" t="s">
        <v>23</v>
      </c>
    </row>
    <row r="3176" spans="1:11" ht="42" customHeight="1">
      <c r="A3176" s="4" t="s">
        <v>7989</v>
      </c>
      <c r="B3176" s="5" t="s">
        <v>7990</v>
      </c>
      <c r="C3176" s="5" t="s">
        <v>26</v>
      </c>
      <c r="D3176" s="5" t="s">
        <v>27</v>
      </c>
      <c r="E3176" s="5" t="s">
        <v>293</v>
      </c>
      <c r="F3176" s="9">
        <v>45</v>
      </c>
      <c r="G3176" s="9">
        <v>476</v>
      </c>
      <c r="H3176" s="5" t="s">
        <v>21</v>
      </c>
      <c r="I3176" s="5" t="s">
        <v>7995</v>
      </c>
      <c r="J3176" s="12" t="str">
        <f>HYPERLINK("https://www.boe.es/gazeta/dias/1803/06/07/pdfs/GMD-1803-45.pdf#page=12","Abrir facsímil")</f>
        <v>Abrir facsímil</v>
      </c>
      <c r="K3176" s="15" t="s">
        <v>23</v>
      </c>
    </row>
    <row r="3177" spans="1:11" ht="42" customHeight="1">
      <c r="A3177" s="4" t="s">
        <v>7989</v>
      </c>
      <c r="B3177" s="5" t="s">
        <v>7990</v>
      </c>
      <c r="C3177" s="5" t="s">
        <v>51</v>
      </c>
      <c r="D3177" s="5" t="s">
        <v>52</v>
      </c>
      <c r="E3177" s="5" t="s">
        <v>523</v>
      </c>
      <c r="F3177" s="9">
        <v>101</v>
      </c>
      <c r="G3177" s="9">
        <v>1088</v>
      </c>
      <c r="H3177" s="5" t="s">
        <v>21</v>
      </c>
      <c r="I3177" s="5" t="s">
        <v>7996</v>
      </c>
      <c r="J3177" s="12" t="str">
        <f>HYPERLINK("https://www.boe.es/gazeta/dias/1803/12/16/pdfs/GMD-1803-101.pdf#page=12","Abrir facsímil")</f>
        <v>Abrir facsímil</v>
      </c>
      <c r="K3177" s="15" t="s">
        <v>23</v>
      </c>
    </row>
    <row r="3178" spans="1:11" ht="42" customHeight="1">
      <c r="A3178" s="4" t="s">
        <v>7997</v>
      </c>
      <c r="B3178" s="5" t="s">
        <v>7998</v>
      </c>
      <c r="C3178" s="5" t="s">
        <v>51</v>
      </c>
      <c r="D3178" s="5" t="s">
        <v>52</v>
      </c>
      <c r="E3178" s="5" t="s">
        <v>28</v>
      </c>
      <c r="F3178" s="9">
        <v>92</v>
      </c>
      <c r="G3178" s="9">
        <v>987</v>
      </c>
      <c r="H3178" s="5" t="s">
        <v>21</v>
      </c>
      <c r="I3178" s="5" t="s">
        <v>7999</v>
      </c>
      <c r="J3178" s="12" t="str">
        <f>HYPERLINK("https://www.boe.es/gazeta/dias/1803/11/15/pdfs/GMD-1803-92.pdf#page=7","Abrir facsímil")</f>
        <v>Abrir facsímil</v>
      </c>
      <c r="K3178" s="15" t="s">
        <v>23</v>
      </c>
    </row>
    <row r="3179" spans="1:11" ht="42" customHeight="1">
      <c r="A3179" s="4" t="s">
        <v>8000</v>
      </c>
      <c r="B3179" s="5" t="s">
        <v>8001</v>
      </c>
      <c r="C3179" s="5" t="s">
        <v>18</v>
      </c>
      <c r="D3179" s="5" t="s">
        <v>19</v>
      </c>
      <c r="E3179" s="5" t="s">
        <v>391</v>
      </c>
      <c r="F3179" s="9">
        <v>61</v>
      </c>
      <c r="G3179" s="9">
        <v>668</v>
      </c>
      <c r="H3179" s="5" t="s">
        <v>21</v>
      </c>
      <c r="I3179" s="5" t="s">
        <v>8002</v>
      </c>
      <c r="J3179" s="12" t="str">
        <f>HYPERLINK("https://www.boe.es/gazeta/dias/1803/08/02/pdfs/GMD-1803-61.pdf#page=8","Abrir facsímil")</f>
        <v>Abrir facsímil</v>
      </c>
      <c r="K3179" s="15" t="s">
        <v>23</v>
      </c>
    </row>
    <row r="3180" spans="1:11" ht="42" customHeight="1">
      <c r="A3180" s="4" t="s">
        <v>8003</v>
      </c>
      <c r="B3180" s="5" t="s">
        <v>8004</v>
      </c>
      <c r="C3180" s="5" t="s">
        <v>18</v>
      </c>
      <c r="D3180" s="5" t="s">
        <v>19</v>
      </c>
      <c r="E3180" s="5" t="s">
        <v>373</v>
      </c>
      <c r="F3180" s="9">
        <v>77</v>
      </c>
      <c r="G3180" s="9">
        <v>833</v>
      </c>
      <c r="H3180" s="5" t="s">
        <v>21</v>
      </c>
      <c r="I3180" s="5" t="s">
        <v>8005</v>
      </c>
      <c r="J3180" s="12" t="str">
        <f>HYPERLINK("https://www.boe.es/gazeta/dias/1803/09/23/pdfs/GMD-1803-77.pdf#page=9","Abrir facsímil")</f>
        <v>Abrir facsímil</v>
      </c>
      <c r="K3180" s="15" t="s">
        <v>23</v>
      </c>
    </row>
    <row r="3181" spans="1:11" ht="42" customHeight="1">
      <c r="A3181" s="4" t="s">
        <v>8006</v>
      </c>
      <c r="B3181" s="5" t="s">
        <v>8007</v>
      </c>
      <c r="C3181" s="5" t="s">
        <v>26</v>
      </c>
      <c r="D3181" s="5" t="s">
        <v>27</v>
      </c>
      <c r="E3181" s="5" t="s">
        <v>156</v>
      </c>
      <c r="F3181" s="9">
        <v>2</v>
      </c>
      <c r="G3181" s="9">
        <v>17</v>
      </c>
      <c r="H3181" s="5" t="s">
        <v>21</v>
      </c>
      <c r="I3181" s="5" t="s">
        <v>8008</v>
      </c>
      <c r="J3181" s="12" t="str">
        <f>HYPERLINK("https://www.boe.es/gazeta/dias/1803/01/07/pdfs/GMD-1803-2.pdf#page=9","Abrir facsímil")</f>
        <v>Abrir facsímil</v>
      </c>
      <c r="K3181" s="15" t="s">
        <v>23</v>
      </c>
    </row>
    <row r="3182" spans="1:11" ht="42" customHeight="1">
      <c r="A3182" s="4" t="s">
        <v>8009</v>
      </c>
      <c r="B3182" s="5" t="s">
        <v>8009</v>
      </c>
      <c r="C3182" s="5" t="s">
        <v>26</v>
      </c>
      <c r="D3182" s="5" t="s">
        <v>27</v>
      </c>
      <c r="E3182" s="5" t="s">
        <v>361</v>
      </c>
      <c r="F3182" s="9">
        <v>62</v>
      </c>
      <c r="G3182" s="9">
        <v>671</v>
      </c>
      <c r="H3182" s="5" t="s">
        <v>21</v>
      </c>
      <c r="I3182" s="5" t="s">
        <v>8010</v>
      </c>
      <c r="J3182" s="12" t="str">
        <f>HYPERLINK("https://www.boe.es/gazeta/dias/1803/08/05/pdfs/GMD-1803-62.pdf#page=3","Abrir facsímil")</f>
        <v>Abrir facsímil</v>
      </c>
      <c r="K3182" s="15" t="s">
        <v>23</v>
      </c>
    </row>
    <row r="3183" spans="1:11" ht="42" customHeight="1">
      <c r="A3183" s="4" t="s">
        <v>8011</v>
      </c>
      <c r="B3183" s="5" t="s">
        <v>8012</v>
      </c>
      <c r="C3183" s="5" t="s">
        <v>26</v>
      </c>
      <c r="D3183" s="5" t="s">
        <v>27</v>
      </c>
      <c r="E3183" s="5" t="s">
        <v>138</v>
      </c>
      <c r="F3183" s="9">
        <v>68</v>
      </c>
      <c r="G3183" s="9">
        <v>742</v>
      </c>
      <c r="H3183" s="5" t="s">
        <v>21</v>
      </c>
      <c r="I3183" s="5" t="s">
        <v>8013</v>
      </c>
      <c r="J3183" s="12" t="str">
        <f>HYPERLINK("https://www.boe.es/gazeta/dias/1803/08/26/pdfs/GMD-1803-68.pdf#page=10","Abrir facsímil")</f>
        <v>Abrir facsímil</v>
      </c>
      <c r="K3183" s="15" t="s">
        <v>23</v>
      </c>
    </row>
    <row r="3184" spans="1:11" ht="42" customHeight="1">
      <c r="A3184" s="4" t="s">
        <v>8014</v>
      </c>
      <c r="B3184" s="5" t="s">
        <v>8015</v>
      </c>
      <c r="C3184" s="5" t="s">
        <v>40</v>
      </c>
      <c r="D3184" s="5" t="s">
        <v>41</v>
      </c>
      <c r="E3184" s="5" t="s">
        <v>919</v>
      </c>
      <c r="F3184" s="9">
        <v>69</v>
      </c>
      <c r="G3184" s="9">
        <v>747</v>
      </c>
      <c r="H3184" s="5" t="s">
        <v>21</v>
      </c>
      <c r="I3184" s="5" t="s">
        <v>8016</v>
      </c>
      <c r="J3184" s="12" t="str">
        <f>HYPERLINK("https://www.boe.es/gazeta/dias/1803/08/30/pdfs/GMD-1803-69.pdf#page=3","Abrir facsímil")</f>
        <v>Abrir facsímil</v>
      </c>
      <c r="K3184" s="15" t="s">
        <v>23</v>
      </c>
    </row>
    <row r="3185" spans="1:11" ht="42" customHeight="1">
      <c r="A3185" s="4" t="s">
        <v>8014</v>
      </c>
      <c r="B3185" s="5" t="s">
        <v>8015</v>
      </c>
      <c r="C3185" s="5" t="s">
        <v>40</v>
      </c>
      <c r="D3185" s="5" t="s">
        <v>41</v>
      </c>
      <c r="E3185" s="5" t="s">
        <v>571</v>
      </c>
      <c r="F3185" s="9">
        <v>103</v>
      </c>
      <c r="G3185" s="9">
        <v>1102</v>
      </c>
      <c r="H3185" s="5" t="s">
        <v>21</v>
      </c>
      <c r="I3185" s="5" t="s">
        <v>8017</v>
      </c>
      <c r="J3185" s="12" t="str">
        <f>HYPERLINK("https://www.boe.es/gazeta/dias/1803/12/23/pdfs/GMD-1803-103.pdf#page=2","Abrir facsímil")</f>
        <v>Abrir facsímil</v>
      </c>
      <c r="K3185" s="15" t="s">
        <v>23</v>
      </c>
    </row>
    <row r="3186" spans="1:11" ht="42" customHeight="1">
      <c r="A3186" s="4" t="s">
        <v>8014</v>
      </c>
      <c r="B3186" s="5" t="s">
        <v>8015</v>
      </c>
      <c r="C3186" s="5" t="s">
        <v>40</v>
      </c>
      <c r="D3186" s="5" t="s">
        <v>41</v>
      </c>
      <c r="E3186" s="5" t="s">
        <v>336</v>
      </c>
      <c r="F3186" s="9">
        <v>105</v>
      </c>
      <c r="G3186" s="9">
        <v>1119</v>
      </c>
      <c r="H3186" s="5" t="s">
        <v>21</v>
      </c>
      <c r="I3186" s="5" t="s">
        <v>8018</v>
      </c>
      <c r="J3186" s="12" t="str">
        <f>HYPERLINK("https://www.boe.es/gazeta/dias/1803/12/30/pdfs/GMD-1803-105.pdf#page=3","Abrir facsímil")</f>
        <v>Abrir facsímil</v>
      </c>
      <c r="K3186" s="15" t="s">
        <v>23</v>
      </c>
    </row>
    <row r="3187" spans="1:11" ht="42" customHeight="1">
      <c r="A3187" s="4" t="s">
        <v>8019</v>
      </c>
      <c r="B3187" s="5" t="s">
        <v>8020</v>
      </c>
      <c r="C3187" s="5" t="s">
        <v>18</v>
      </c>
      <c r="D3187" s="5" t="s">
        <v>19</v>
      </c>
      <c r="E3187" s="5" t="s">
        <v>501</v>
      </c>
      <c r="F3187" s="9">
        <v>22</v>
      </c>
      <c r="G3187" s="9">
        <v>238</v>
      </c>
      <c r="H3187" s="5" t="s">
        <v>21</v>
      </c>
      <c r="I3187" s="5" t="s">
        <v>8021</v>
      </c>
      <c r="J3187" s="12" t="str">
        <f>HYPERLINK("https://www.boe.es/gazeta/dias/1803/03/18/pdfs/GMD-1803-22.pdf#page=10","Abrir facsímil")</f>
        <v>Abrir facsímil</v>
      </c>
      <c r="K3187" s="15" t="s">
        <v>23</v>
      </c>
    </row>
    <row r="3188" spans="1:11" ht="42" customHeight="1">
      <c r="A3188" s="4" t="s">
        <v>8022</v>
      </c>
      <c r="B3188" s="5" t="s">
        <v>8023</v>
      </c>
      <c r="C3188" s="5" t="s">
        <v>18</v>
      </c>
      <c r="D3188" s="5" t="s">
        <v>19</v>
      </c>
      <c r="E3188" s="5" t="s">
        <v>207</v>
      </c>
      <c r="F3188" s="9">
        <v>27</v>
      </c>
      <c r="G3188" s="9">
        <v>293</v>
      </c>
      <c r="H3188" s="5" t="s">
        <v>21</v>
      </c>
      <c r="I3188" s="5" t="s">
        <v>8024</v>
      </c>
      <c r="J3188" s="12" t="str">
        <f>HYPERLINK("https://www.boe.es/gazeta/dias/1803/04/05/pdfs/GMD-1803-27.pdf#page=9","Abrir facsímil")</f>
        <v>Abrir facsímil</v>
      </c>
      <c r="K3188" s="15" t="s">
        <v>23</v>
      </c>
    </row>
    <row r="3189" spans="1:11" ht="42" customHeight="1">
      <c r="A3189" s="4" t="s">
        <v>8025</v>
      </c>
      <c r="B3189" s="5" t="s">
        <v>8026</v>
      </c>
      <c r="C3189" s="5" t="s">
        <v>18</v>
      </c>
      <c r="D3189" s="5" t="s">
        <v>19</v>
      </c>
      <c r="E3189" s="5" t="s">
        <v>272</v>
      </c>
      <c r="F3189" s="9">
        <v>25</v>
      </c>
      <c r="G3189" s="9">
        <v>266</v>
      </c>
      <c r="H3189" s="5" t="s">
        <v>21</v>
      </c>
      <c r="I3189" s="5" t="s">
        <v>8027</v>
      </c>
      <c r="J3189" s="12" t="str">
        <f>HYPERLINK("https://www.boe.es/gazeta/dias/1803/03/29/pdfs/GMD-1803-25.pdf#page=6","Abrir facsímil")</f>
        <v>Abrir facsímil</v>
      </c>
      <c r="K3189" s="15" t="s">
        <v>23</v>
      </c>
    </row>
    <row r="3190" spans="1:11" ht="42" customHeight="1">
      <c r="A3190" s="4" t="s">
        <v>8028</v>
      </c>
      <c r="B3190" s="5" t="s">
        <v>8029</v>
      </c>
      <c r="C3190" s="5" t="s">
        <v>40</v>
      </c>
      <c r="D3190" s="5" t="s">
        <v>41</v>
      </c>
      <c r="E3190" s="5" t="s">
        <v>321</v>
      </c>
      <c r="F3190" s="9">
        <v>94</v>
      </c>
      <c r="G3190" s="9">
        <v>1005</v>
      </c>
      <c r="H3190" s="5" t="s">
        <v>21</v>
      </c>
      <c r="I3190" s="5" t="s">
        <v>8030</v>
      </c>
      <c r="J3190" s="12" t="str">
        <f>HYPERLINK("https://www.boe.es/gazeta/dias/1803/11/22/pdfs/GMD-1803-94.pdf#page=5","Abrir facsímil")</f>
        <v>Abrir facsímil</v>
      </c>
      <c r="K3190" s="15" t="s">
        <v>23</v>
      </c>
    </row>
    <row r="3191" spans="1:11" ht="42" customHeight="1">
      <c r="A3191" s="4" t="s">
        <v>8031</v>
      </c>
      <c r="B3191" s="5" t="s">
        <v>8032</v>
      </c>
      <c r="C3191" s="5" t="s">
        <v>51</v>
      </c>
      <c r="D3191" s="5" t="s">
        <v>52</v>
      </c>
      <c r="E3191" s="5" t="s">
        <v>57</v>
      </c>
      <c r="F3191" s="9">
        <v>51</v>
      </c>
      <c r="G3191" s="9">
        <v>553</v>
      </c>
      <c r="H3191" s="5" t="s">
        <v>21</v>
      </c>
      <c r="I3191" s="5" t="s">
        <v>8033</v>
      </c>
      <c r="J3191" s="12" t="str">
        <f>HYPERLINK("https://www.boe.es/gazeta/dias/1803/06/28/pdfs/GMD-1803-51.pdf#page=9","Abrir facsímil")</f>
        <v>Abrir facsímil</v>
      </c>
      <c r="K3191" s="15" t="s">
        <v>23</v>
      </c>
    </row>
    <row r="3192" spans="1:11" ht="42" customHeight="1">
      <c r="A3192" s="4" t="s">
        <v>8034</v>
      </c>
      <c r="B3192" s="5" t="s">
        <v>8035</v>
      </c>
      <c r="C3192" s="5" t="s">
        <v>874</v>
      </c>
      <c r="D3192" s="5" t="s">
        <v>875</v>
      </c>
      <c r="E3192" s="5" t="s">
        <v>480</v>
      </c>
      <c r="F3192" s="9">
        <v>87</v>
      </c>
      <c r="G3192" s="9" t="s">
        <v>1213</v>
      </c>
      <c r="H3192" s="5" t="s">
        <v>21</v>
      </c>
      <c r="I3192" s="5" t="s">
        <v>8036</v>
      </c>
      <c r="J3192" s="12" t="str">
        <f>HYPERLINK("https://www.boe.es/gazeta/dias/1803/10/28/pdfs/GMD-C-1803-87.pdf#page=2","Abrir facsímil")</f>
        <v>Abrir facsímil</v>
      </c>
      <c r="K3192" s="15" t="s">
        <v>23</v>
      </c>
    </row>
    <row r="3193" spans="1:11" ht="42" customHeight="1">
      <c r="A3193" s="4" t="s">
        <v>8037</v>
      </c>
      <c r="B3193" s="5" t="s">
        <v>8038</v>
      </c>
      <c r="C3193" s="5" t="s">
        <v>18</v>
      </c>
      <c r="D3193" s="5" t="s">
        <v>19</v>
      </c>
      <c r="E3193" s="5" t="s">
        <v>160</v>
      </c>
      <c r="F3193" s="9">
        <v>81</v>
      </c>
      <c r="G3193" s="9">
        <v>872</v>
      </c>
      <c r="H3193" s="5" t="s">
        <v>21</v>
      </c>
      <c r="I3193" s="5" t="s">
        <v>8039</v>
      </c>
      <c r="J3193" s="12" t="str">
        <f>HYPERLINK("https://www.boe.es/gazeta/dias/1803/10/07/pdfs/GMD-1803-81.pdf#page=8","Abrir facsímil")</f>
        <v>Abrir facsímil</v>
      </c>
      <c r="K3193" s="15" t="s">
        <v>23</v>
      </c>
    </row>
    <row r="3194" spans="1:11" ht="42" customHeight="1">
      <c r="A3194" s="4" t="s">
        <v>8040</v>
      </c>
      <c r="B3194" s="5" t="s">
        <v>8041</v>
      </c>
      <c r="C3194" s="5" t="s">
        <v>26</v>
      </c>
      <c r="D3194" s="5" t="s">
        <v>27</v>
      </c>
      <c r="E3194" s="5" t="s">
        <v>178</v>
      </c>
      <c r="F3194" s="9">
        <v>36</v>
      </c>
      <c r="G3194" s="9">
        <v>375</v>
      </c>
      <c r="H3194" s="5" t="s">
        <v>21</v>
      </c>
      <c r="I3194" s="5" t="s">
        <v>8042</v>
      </c>
      <c r="J3194" s="12" t="str">
        <f>HYPERLINK("https://www.boe.es/gazeta/dias/1803/05/06/pdfs/GMD-1803-36.pdf#page=7","Abrir facsímil")</f>
        <v>Abrir facsímil</v>
      </c>
      <c r="K3194" s="15" t="s">
        <v>23</v>
      </c>
    </row>
    <row r="3195" spans="1:11" ht="42" customHeight="1">
      <c r="A3195" s="4" t="s">
        <v>8043</v>
      </c>
      <c r="B3195" s="5" t="s">
        <v>8044</v>
      </c>
      <c r="C3195" s="5" t="s">
        <v>51</v>
      </c>
      <c r="D3195" s="5" t="s">
        <v>52</v>
      </c>
      <c r="E3195" s="5" t="s">
        <v>211</v>
      </c>
      <c r="F3195" s="9">
        <v>71</v>
      </c>
      <c r="G3195" s="9">
        <v>779</v>
      </c>
      <c r="H3195" s="5" t="s">
        <v>21</v>
      </c>
      <c r="I3195" s="5" t="s">
        <v>8045</v>
      </c>
      <c r="J3195" s="12" t="str">
        <f>HYPERLINK("https://www.boe.es/gazeta/dias/1803/09/06/pdfs/GMD-1803-71.pdf#page=11","Abrir facsímil")</f>
        <v>Abrir facsímil</v>
      </c>
      <c r="K3195" s="15" t="s">
        <v>23</v>
      </c>
    </row>
    <row r="3196" spans="1:11" ht="42" customHeight="1">
      <c r="A3196" s="4" t="s">
        <v>8046</v>
      </c>
      <c r="B3196" s="5" t="s">
        <v>8047</v>
      </c>
      <c r="C3196" s="5" t="s">
        <v>51</v>
      </c>
      <c r="D3196" s="5" t="s">
        <v>52</v>
      </c>
      <c r="E3196" s="5" t="s">
        <v>189</v>
      </c>
      <c r="F3196" s="9">
        <v>9</v>
      </c>
      <c r="G3196" s="9">
        <v>92</v>
      </c>
      <c r="H3196" s="5" t="s">
        <v>21</v>
      </c>
      <c r="I3196" s="5" t="s">
        <v>8048</v>
      </c>
      <c r="J3196" s="12" t="str">
        <f>HYPERLINK("https://www.boe.es/gazeta/dias/1803/02/01/pdfs/GMD-1803-9.pdf#page=8","Abrir facsímil")</f>
        <v>Abrir facsímil</v>
      </c>
      <c r="K3196" s="15" t="s">
        <v>23</v>
      </c>
    </row>
    <row r="3197" spans="1:11" ht="42" customHeight="1">
      <c r="A3197" s="4" t="s">
        <v>8046</v>
      </c>
      <c r="B3197" s="5" t="s">
        <v>8047</v>
      </c>
      <c r="C3197" s="5" t="s">
        <v>26</v>
      </c>
      <c r="D3197" s="5" t="s">
        <v>27</v>
      </c>
      <c r="E3197" s="5" t="s">
        <v>263</v>
      </c>
      <c r="F3197" s="9">
        <v>75</v>
      </c>
      <c r="G3197" s="9">
        <v>810</v>
      </c>
      <c r="H3197" s="5" t="s">
        <v>21</v>
      </c>
      <c r="I3197" s="5" t="s">
        <v>8049</v>
      </c>
      <c r="J3197" s="12" t="str">
        <f>HYPERLINK("https://www.boe.es/gazeta/dias/1803/09/16/pdfs/GMD-1803-75.pdf#page=6","Abrir facsímil")</f>
        <v>Abrir facsímil</v>
      </c>
      <c r="K3197" s="15" t="s">
        <v>23</v>
      </c>
    </row>
    <row r="3198" spans="1:11" ht="42" customHeight="1">
      <c r="A3198" s="4" t="s">
        <v>8050</v>
      </c>
      <c r="B3198" s="5" t="s">
        <v>8051</v>
      </c>
      <c r="C3198" s="5" t="s">
        <v>26</v>
      </c>
      <c r="D3198" s="5" t="s">
        <v>27</v>
      </c>
      <c r="E3198" s="5" t="s">
        <v>178</v>
      </c>
      <c r="F3198" s="9">
        <v>36</v>
      </c>
      <c r="G3198" s="9">
        <v>375</v>
      </c>
      <c r="H3198" s="5" t="s">
        <v>21</v>
      </c>
      <c r="I3198" s="5" t="s">
        <v>8052</v>
      </c>
      <c r="J3198" s="12" t="str">
        <f>HYPERLINK("https://www.boe.es/gazeta/dias/1803/05/06/pdfs/GMD-1803-36.pdf#page=7","Abrir facsímil")</f>
        <v>Abrir facsímil</v>
      </c>
      <c r="K3198" s="15" t="s">
        <v>23</v>
      </c>
    </row>
    <row r="3199" spans="1:11" ht="42" customHeight="1">
      <c r="A3199" s="4" t="s">
        <v>8053</v>
      </c>
      <c r="B3199" s="5" t="s">
        <v>8054</v>
      </c>
      <c r="C3199" s="5" t="s">
        <v>26</v>
      </c>
      <c r="D3199" s="5" t="s">
        <v>27</v>
      </c>
      <c r="E3199" s="5" t="s">
        <v>138</v>
      </c>
      <c r="F3199" s="9">
        <v>68</v>
      </c>
      <c r="G3199" s="9">
        <v>742</v>
      </c>
      <c r="H3199" s="5" t="s">
        <v>21</v>
      </c>
      <c r="I3199" s="5" t="s">
        <v>8055</v>
      </c>
      <c r="J3199" s="12" t="str">
        <f>HYPERLINK("https://www.boe.es/gazeta/dias/1803/08/26/pdfs/GMD-1803-68.pdf#page=10","Abrir facsímil")</f>
        <v>Abrir facsímil</v>
      </c>
      <c r="K3199" s="15" t="s">
        <v>23</v>
      </c>
    </row>
    <row r="3200" spans="1:11" ht="42" customHeight="1">
      <c r="A3200" s="4" t="s">
        <v>8056</v>
      </c>
      <c r="B3200" s="5" t="s">
        <v>8057</v>
      </c>
      <c r="C3200" s="5" t="s">
        <v>46</v>
      </c>
      <c r="D3200" s="5" t="s">
        <v>19</v>
      </c>
      <c r="E3200" s="5" t="s">
        <v>148</v>
      </c>
      <c r="F3200" s="9">
        <v>15</v>
      </c>
      <c r="G3200" s="9">
        <v>157</v>
      </c>
      <c r="H3200" s="5" t="s">
        <v>21</v>
      </c>
      <c r="I3200" s="5" t="s">
        <v>8058</v>
      </c>
      <c r="J3200" s="12" t="str">
        <f>HYPERLINK("https://www.boe.es/gazeta/dias/1803/02/22/pdfs/GMD-1803-15.pdf#page=9","Abrir facsímil")</f>
        <v>Abrir facsímil</v>
      </c>
      <c r="K3200" s="15" t="s">
        <v>23</v>
      </c>
    </row>
    <row r="3201" spans="1:11" ht="42" customHeight="1">
      <c r="A3201" s="4" t="s">
        <v>8059</v>
      </c>
      <c r="B3201" s="5" t="s">
        <v>8060</v>
      </c>
      <c r="C3201" s="5" t="s">
        <v>18</v>
      </c>
      <c r="D3201" s="5" t="s">
        <v>19</v>
      </c>
      <c r="E3201" s="5" t="s">
        <v>272</v>
      </c>
      <c r="F3201" s="9">
        <v>25</v>
      </c>
      <c r="G3201" s="9">
        <v>266</v>
      </c>
      <c r="H3201" s="5" t="s">
        <v>21</v>
      </c>
      <c r="I3201" s="5" t="s">
        <v>8061</v>
      </c>
      <c r="J3201" s="12" t="str">
        <f>HYPERLINK("https://www.boe.es/gazeta/dias/1803/03/29/pdfs/GMD-1803-25.pdf#page=6","Abrir facsímil")</f>
        <v>Abrir facsímil</v>
      </c>
      <c r="K3201" s="15" t="s">
        <v>23</v>
      </c>
    </row>
    <row r="3202" spans="1:11" ht="42" customHeight="1">
      <c r="A3202" s="4" t="s">
        <v>8062</v>
      </c>
      <c r="B3202" s="5" t="s">
        <v>8063</v>
      </c>
      <c r="C3202" s="5" t="s">
        <v>51</v>
      </c>
      <c r="D3202" s="5" t="s">
        <v>52</v>
      </c>
      <c r="E3202" s="5" t="s">
        <v>514</v>
      </c>
      <c r="F3202" s="9">
        <v>42</v>
      </c>
      <c r="G3202" s="9">
        <v>438</v>
      </c>
      <c r="H3202" s="5" t="s">
        <v>21</v>
      </c>
      <c r="I3202" s="5" t="s">
        <v>8064</v>
      </c>
      <c r="J3202" s="12" t="str">
        <f>HYPERLINK("https://www.boe.es/gazeta/dias/1803/05/27/pdfs/GMD-1803-42.pdf#page=6","Abrir facsímil")</f>
        <v>Abrir facsímil</v>
      </c>
      <c r="K3202" s="15" t="s">
        <v>23</v>
      </c>
    </row>
    <row r="3203" spans="1:11" ht="42" customHeight="1">
      <c r="A3203" s="4" t="s">
        <v>8062</v>
      </c>
      <c r="B3203" s="5" t="s">
        <v>8063</v>
      </c>
      <c r="C3203" s="5" t="s">
        <v>26</v>
      </c>
      <c r="D3203" s="5" t="s">
        <v>27</v>
      </c>
      <c r="E3203" s="5" t="s">
        <v>480</v>
      </c>
      <c r="F3203" s="9">
        <v>87</v>
      </c>
      <c r="G3203" s="9">
        <v>939</v>
      </c>
      <c r="H3203" s="5" t="s">
        <v>21</v>
      </c>
      <c r="I3203" s="5" t="s">
        <v>8065</v>
      </c>
      <c r="J3203" s="12" t="str">
        <f>HYPERLINK("https://www.boe.es/gazeta/dias/1803/10/28/pdfs/GMD-1803-87.pdf#page=7","Abrir facsímil")</f>
        <v>Abrir facsímil</v>
      </c>
      <c r="K3203" s="15" t="s">
        <v>23</v>
      </c>
    </row>
    <row r="3204" spans="1:11" ht="42" customHeight="1">
      <c r="A3204" s="4" t="s">
        <v>8066</v>
      </c>
      <c r="B3204" s="5" t="s">
        <v>8067</v>
      </c>
      <c r="C3204" s="5" t="s">
        <v>80</v>
      </c>
      <c r="D3204" s="5" t="s">
        <v>81</v>
      </c>
      <c r="E3204" s="5" t="s">
        <v>85</v>
      </c>
      <c r="F3204" s="9">
        <v>49</v>
      </c>
      <c r="G3204" s="9">
        <v>524</v>
      </c>
      <c r="H3204" s="5" t="s">
        <v>21</v>
      </c>
      <c r="I3204" s="5" t="s">
        <v>8068</v>
      </c>
      <c r="J3204" s="12" t="str">
        <f>HYPERLINK("https://www.boe.es/gazeta/dias/1803/06/21/pdfs/GMD-1803-49.pdf#page=12","Abrir facsímil")</f>
        <v>Abrir facsímil</v>
      </c>
      <c r="K3204" s="15" t="s">
        <v>23</v>
      </c>
    </row>
    <row r="3205" spans="1:11" ht="42" customHeight="1">
      <c r="A3205" s="4" t="s">
        <v>8069</v>
      </c>
      <c r="B3205" s="5" t="s">
        <v>8070</v>
      </c>
      <c r="C3205" s="5" t="s">
        <v>26</v>
      </c>
      <c r="D3205" s="5" t="s">
        <v>27</v>
      </c>
      <c r="E3205" s="5" t="s">
        <v>285</v>
      </c>
      <c r="F3205" s="9">
        <v>5</v>
      </c>
      <c r="G3205" s="9">
        <v>46</v>
      </c>
      <c r="H3205" s="5" t="s">
        <v>21</v>
      </c>
      <c r="I3205" s="5" t="s">
        <v>8071</v>
      </c>
      <c r="J3205" s="12" t="str">
        <f>HYPERLINK("https://www.boe.es/gazeta/dias/1803/01/18/pdfs/GMD-1803-5.pdf#page=10","Abrir facsímil")</f>
        <v>Abrir facsímil</v>
      </c>
      <c r="K3205" s="15" t="s">
        <v>23</v>
      </c>
    </row>
    <row r="3206" spans="1:11" ht="42" customHeight="1">
      <c r="A3206" s="4" t="s">
        <v>8069</v>
      </c>
      <c r="B3206" s="5" t="s">
        <v>8070</v>
      </c>
      <c r="C3206" s="5" t="s">
        <v>26</v>
      </c>
      <c r="D3206" s="5" t="s">
        <v>27</v>
      </c>
      <c r="E3206" s="5" t="s">
        <v>174</v>
      </c>
      <c r="F3206" s="9">
        <v>21</v>
      </c>
      <c r="G3206" s="9">
        <v>223</v>
      </c>
      <c r="H3206" s="5" t="s">
        <v>21</v>
      </c>
      <c r="I3206" s="5" t="s">
        <v>8072</v>
      </c>
      <c r="J3206" s="12" t="str">
        <f>HYPERLINK("https://www.boe.es/gazeta/dias/1803/03/15/pdfs/GMD-1803-21.pdf#page=7","Abrir facsímil")</f>
        <v>Abrir facsímil</v>
      </c>
      <c r="K3206" s="15" t="s">
        <v>23</v>
      </c>
    </row>
    <row r="3207" spans="1:11" ht="42" customHeight="1">
      <c r="A3207" s="4" t="s">
        <v>8073</v>
      </c>
      <c r="B3207" s="5" t="s">
        <v>8074</v>
      </c>
      <c r="C3207" s="5" t="s">
        <v>51</v>
      </c>
      <c r="D3207" s="5" t="s">
        <v>52</v>
      </c>
      <c r="E3207" s="5" t="s">
        <v>83</v>
      </c>
      <c r="F3207" s="9">
        <v>28</v>
      </c>
      <c r="G3207" s="9">
        <v>303</v>
      </c>
      <c r="H3207" s="5" t="s">
        <v>21</v>
      </c>
      <c r="I3207" s="5" t="s">
        <v>8075</v>
      </c>
      <c r="J3207" s="12" t="str">
        <f>HYPERLINK("https://www.boe.es/gazeta/dias/1803/04/08/pdfs/GMD-1803-28.pdf#page=7","Abrir facsímil")</f>
        <v>Abrir facsímil</v>
      </c>
      <c r="K3207" s="15" t="s">
        <v>23</v>
      </c>
    </row>
    <row r="3208" spans="1:11" ht="42" customHeight="1">
      <c r="A3208" s="4" t="s">
        <v>8076</v>
      </c>
      <c r="B3208" s="5" t="s">
        <v>8077</v>
      </c>
      <c r="C3208" s="5" t="s">
        <v>26</v>
      </c>
      <c r="D3208" s="5" t="s">
        <v>27</v>
      </c>
      <c r="E3208" s="5" t="s">
        <v>514</v>
      </c>
      <c r="F3208" s="9">
        <v>42</v>
      </c>
      <c r="G3208" s="9">
        <v>439</v>
      </c>
      <c r="H3208" s="5" t="s">
        <v>21</v>
      </c>
      <c r="I3208" s="5" t="s">
        <v>8078</v>
      </c>
      <c r="J3208" s="12" t="str">
        <f>HYPERLINK("https://www.boe.es/gazeta/dias/1803/05/27/pdfs/GMD-1803-42.pdf#page=7","Abrir facsímil")</f>
        <v>Abrir facsímil</v>
      </c>
      <c r="K3208" s="15" t="s">
        <v>23</v>
      </c>
    </row>
    <row r="3209" spans="1:11" ht="42" customHeight="1">
      <c r="A3209" s="4" t="s">
        <v>8079</v>
      </c>
      <c r="B3209" s="5" t="s">
        <v>8080</v>
      </c>
      <c r="C3209" s="5" t="s">
        <v>51</v>
      </c>
      <c r="D3209" s="5" t="s">
        <v>52</v>
      </c>
      <c r="E3209" s="5" t="s">
        <v>64</v>
      </c>
      <c r="F3209" s="9">
        <v>65</v>
      </c>
      <c r="G3209" s="9">
        <v>708</v>
      </c>
      <c r="H3209" s="5" t="s">
        <v>21</v>
      </c>
      <c r="I3209" s="5" t="s">
        <v>8081</v>
      </c>
      <c r="J3209" s="12" t="str">
        <f>HYPERLINK("https://www.boe.es/gazeta/dias/1803/08/16/pdfs/GMD-1803-65.pdf#page=8","Abrir facsímil")</f>
        <v>Abrir facsímil</v>
      </c>
      <c r="K3209" s="15" t="s">
        <v>23</v>
      </c>
    </row>
    <row r="3210" spans="1:11" ht="42" customHeight="1">
      <c r="A3210" s="4" t="s">
        <v>8082</v>
      </c>
      <c r="B3210" s="5" t="s">
        <v>8083</v>
      </c>
      <c r="C3210" s="5" t="s">
        <v>40</v>
      </c>
      <c r="D3210" s="5" t="s">
        <v>41</v>
      </c>
      <c r="E3210" s="5" t="s">
        <v>303</v>
      </c>
      <c r="F3210" s="9">
        <v>8</v>
      </c>
      <c r="G3210" s="9">
        <v>77</v>
      </c>
      <c r="H3210" s="5" t="s">
        <v>21</v>
      </c>
      <c r="I3210" s="5" t="s">
        <v>8084</v>
      </c>
      <c r="J3210" s="12" t="str">
        <f>HYPERLINK("https://www.boe.es/gazeta/dias/1803/01/28/pdfs/GMD-1803-8.pdf#page=5","Abrir facsímil")</f>
        <v>Abrir facsímil</v>
      </c>
      <c r="K3210" s="15" t="s">
        <v>23</v>
      </c>
    </row>
    <row r="3211" spans="1:11" ht="42" customHeight="1">
      <c r="A3211" s="4" t="s">
        <v>8085</v>
      </c>
      <c r="B3211" s="5" t="s">
        <v>8086</v>
      </c>
      <c r="C3211" s="5" t="s">
        <v>40</v>
      </c>
      <c r="D3211" s="5" t="s">
        <v>41</v>
      </c>
      <c r="E3211" s="5" t="s">
        <v>1279</v>
      </c>
      <c r="F3211" s="9">
        <v>3</v>
      </c>
      <c r="G3211" s="9">
        <v>25</v>
      </c>
      <c r="H3211" s="5" t="s">
        <v>21</v>
      </c>
      <c r="I3211" s="5" t="s">
        <v>8087</v>
      </c>
      <c r="J3211" s="12" t="str">
        <f>HYPERLINK("https://www.boe.es/gazeta/dias/1803/01/11/pdfs/GMD-1803-3.pdf#page=5","Abrir facsímil")</f>
        <v>Abrir facsímil</v>
      </c>
      <c r="K3211" s="15" t="s">
        <v>23</v>
      </c>
    </row>
    <row r="3212" spans="1:11" ht="42" customHeight="1">
      <c r="A3212" s="4" t="s">
        <v>8085</v>
      </c>
      <c r="B3212" s="5" t="s">
        <v>8086</v>
      </c>
      <c r="C3212" s="5" t="s">
        <v>51</v>
      </c>
      <c r="D3212" s="5" t="s">
        <v>52</v>
      </c>
      <c r="E3212" s="5" t="s">
        <v>71</v>
      </c>
      <c r="F3212" s="9">
        <v>39</v>
      </c>
      <c r="G3212" s="9">
        <v>408</v>
      </c>
      <c r="H3212" s="5" t="s">
        <v>21</v>
      </c>
      <c r="I3212" s="5" t="s">
        <v>8088</v>
      </c>
      <c r="J3212" s="12" t="str">
        <f>HYPERLINK("https://www.boe.es/gazeta/dias/1803/05/17/pdfs/GMD-1803-39.pdf#page=4","Abrir facsímil")</f>
        <v>Abrir facsímil</v>
      </c>
      <c r="K3212" s="15" t="s">
        <v>23</v>
      </c>
    </row>
    <row r="3213" spans="1:11" ht="42" customHeight="1">
      <c r="A3213" s="4" t="s">
        <v>8085</v>
      </c>
      <c r="B3213" s="5" t="s">
        <v>8086</v>
      </c>
      <c r="C3213" s="5" t="s">
        <v>40</v>
      </c>
      <c r="D3213" s="5" t="s">
        <v>41</v>
      </c>
      <c r="E3213" s="5" t="s">
        <v>278</v>
      </c>
      <c r="F3213" s="9">
        <v>46</v>
      </c>
      <c r="G3213" s="9">
        <v>479</v>
      </c>
      <c r="H3213" s="5" t="s">
        <v>21</v>
      </c>
      <c r="I3213" s="5" t="s">
        <v>8089</v>
      </c>
      <c r="J3213" s="12" t="str">
        <f>HYPERLINK("https://www.boe.es/gazeta/dias/1803/06/10/pdfs/GMD-1803-46.pdf#page=3","Abrir facsímil")</f>
        <v>Abrir facsímil</v>
      </c>
      <c r="K3213" s="15" t="s">
        <v>23</v>
      </c>
    </row>
    <row r="3214" spans="1:11" ht="42" customHeight="1">
      <c r="A3214" s="4" t="s">
        <v>8085</v>
      </c>
      <c r="B3214" s="5" t="s">
        <v>8086</v>
      </c>
      <c r="C3214" s="5" t="s">
        <v>26</v>
      </c>
      <c r="D3214" s="5" t="s">
        <v>27</v>
      </c>
      <c r="E3214" s="5" t="s">
        <v>606</v>
      </c>
      <c r="F3214" s="9">
        <v>47</v>
      </c>
      <c r="G3214" s="9">
        <v>494</v>
      </c>
      <c r="H3214" s="5" t="s">
        <v>21</v>
      </c>
      <c r="I3214" s="5" t="s">
        <v>8090</v>
      </c>
      <c r="J3214" s="12" t="str">
        <f>HYPERLINK("https://www.boe.es/gazeta/dias/1803/06/14/pdfs/GMD-1803-47.pdf#page=6","Abrir facsímil")</f>
        <v>Abrir facsímil</v>
      </c>
      <c r="K3214" s="15" t="s">
        <v>23</v>
      </c>
    </row>
    <row r="3215" spans="1:11" ht="42" customHeight="1">
      <c r="A3215" s="4" t="s">
        <v>8085</v>
      </c>
      <c r="B3215" s="5" t="s">
        <v>8086</v>
      </c>
      <c r="C3215" s="5" t="s">
        <v>40</v>
      </c>
      <c r="D3215" s="5" t="s">
        <v>41</v>
      </c>
      <c r="E3215" s="5" t="s">
        <v>619</v>
      </c>
      <c r="F3215" s="9">
        <v>53</v>
      </c>
      <c r="G3215" s="9">
        <v>575</v>
      </c>
      <c r="H3215" s="5" t="s">
        <v>21</v>
      </c>
      <c r="I3215" s="5" t="s">
        <v>8091</v>
      </c>
      <c r="J3215" s="12" t="str">
        <f>HYPERLINK("https://www.boe.es/gazeta/dias/1803/07/05/pdfs/GMD-1803-53.pdf#page=7","Abrir facsímil")</f>
        <v>Abrir facsímil</v>
      </c>
      <c r="K3215" s="15" t="s">
        <v>23</v>
      </c>
    </row>
    <row r="3216" spans="1:11" ht="42" customHeight="1">
      <c r="A3216" s="4" t="s">
        <v>8092</v>
      </c>
      <c r="B3216" s="5" t="s">
        <v>8093</v>
      </c>
      <c r="C3216" s="5" t="s">
        <v>40</v>
      </c>
      <c r="D3216" s="5" t="s">
        <v>41</v>
      </c>
      <c r="E3216" s="5" t="s">
        <v>285</v>
      </c>
      <c r="F3216" s="9">
        <v>5</v>
      </c>
      <c r="G3216" s="9">
        <v>42</v>
      </c>
      <c r="H3216" s="5" t="s">
        <v>21</v>
      </c>
      <c r="I3216" s="5" t="s">
        <v>8094</v>
      </c>
      <c r="J3216" s="12" t="str">
        <f>HYPERLINK("https://www.boe.es/gazeta/dias/1803/01/18/pdfs/GMD-1803-5.pdf#page=6","Abrir facsímil")</f>
        <v>Abrir facsímil</v>
      </c>
      <c r="K3216" s="15" t="s">
        <v>23</v>
      </c>
    </row>
    <row r="3217" spans="1:11" ht="42" customHeight="1">
      <c r="A3217" s="4" t="s">
        <v>8095</v>
      </c>
      <c r="B3217" s="5" t="s">
        <v>8095</v>
      </c>
      <c r="C3217" s="5" t="s">
        <v>40</v>
      </c>
      <c r="D3217" s="5" t="s">
        <v>41</v>
      </c>
      <c r="E3217" s="5" t="s">
        <v>303</v>
      </c>
      <c r="F3217" s="9">
        <v>8</v>
      </c>
      <c r="G3217" s="9">
        <v>75</v>
      </c>
      <c r="H3217" s="5" t="s">
        <v>21</v>
      </c>
      <c r="I3217" s="5" t="s">
        <v>8096</v>
      </c>
      <c r="J3217" s="12" t="str">
        <f>HYPERLINK("https://www.boe.es/gazeta/dias/1803/01/28/pdfs/GMD-1803-8.pdf#page=3","Abrir facsímil")</f>
        <v>Abrir facsímil</v>
      </c>
      <c r="K3217" s="15" t="s">
        <v>23</v>
      </c>
    </row>
    <row r="3218" spans="1:11" ht="42" customHeight="1">
      <c r="A3218" s="4" t="s">
        <v>8095</v>
      </c>
      <c r="B3218" s="5" t="s">
        <v>8095</v>
      </c>
      <c r="C3218" s="5" t="s">
        <v>40</v>
      </c>
      <c r="D3218" s="5" t="s">
        <v>41</v>
      </c>
      <c r="E3218" s="5" t="s">
        <v>75</v>
      </c>
      <c r="F3218" s="9">
        <v>56</v>
      </c>
      <c r="G3218" s="9">
        <v>607</v>
      </c>
      <c r="H3218" s="5" t="s">
        <v>21</v>
      </c>
      <c r="I3218" s="5" t="s">
        <v>8097</v>
      </c>
      <c r="J3218" s="12" t="str">
        <f>HYPERLINK("https://www.boe.es/gazeta/dias/1803/07/15/pdfs/GMD-1803-56.pdf#page=3","Abrir facsímil")</f>
        <v>Abrir facsímil</v>
      </c>
      <c r="K3218" s="15" t="s">
        <v>23</v>
      </c>
    </row>
    <row r="3219" spans="1:11" ht="42" customHeight="1">
      <c r="A3219" s="4" t="s">
        <v>8098</v>
      </c>
      <c r="B3219" s="5" t="s">
        <v>8099</v>
      </c>
      <c r="C3219" s="5" t="s">
        <v>40</v>
      </c>
      <c r="D3219" s="5" t="s">
        <v>41</v>
      </c>
      <c r="E3219" s="5" t="s">
        <v>784</v>
      </c>
      <c r="F3219" s="9">
        <v>86</v>
      </c>
      <c r="G3219" s="9">
        <v>925</v>
      </c>
      <c r="H3219" s="5" t="s">
        <v>21</v>
      </c>
      <c r="I3219" s="5" t="s">
        <v>8100</v>
      </c>
      <c r="J3219" s="12" t="str">
        <f>HYPERLINK("https://www.boe.es/gazeta/dias/1803/10/25/pdfs/GMD-1803-86.pdf#page=5","Abrir facsímil")</f>
        <v>Abrir facsímil</v>
      </c>
      <c r="K3219" s="15" t="s">
        <v>23</v>
      </c>
    </row>
    <row r="3220" spans="1:11" ht="42" customHeight="1">
      <c r="A3220" s="4" t="s">
        <v>8098</v>
      </c>
      <c r="B3220" s="5" t="s">
        <v>8099</v>
      </c>
      <c r="C3220" s="5" t="s">
        <v>51</v>
      </c>
      <c r="D3220" s="5" t="s">
        <v>52</v>
      </c>
      <c r="E3220" s="5" t="s">
        <v>199</v>
      </c>
      <c r="F3220" s="9">
        <v>88</v>
      </c>
      <c r="G3220" s="9">
        <v>943</v>
      </c>
      <c r="H3220" s="5" t="s">
        <v>21</v>
      </c>
      <c r="I3220" s="5" t="s">
        <v>8101</v>
      </c>
      <c r="J3220" s="12" t="str">
        <f>HYPERLINK("https://www.boe.es/gazeta/dias/1803/11/01/pdfs/GMD-1803-88.pdf#page=3","Abrir facsímil")</f>
        <v>Abrir facsímil</v>
      </c>
      <c r="K3220" s="15" t="s">
        <v>23</v>
      </c>
    </row>
    <row r="3221" spans="1:11" ht="42" customHeight="1">
      <c r="A3221" s="4" t="s">
        <v>8102</v>
      </c>
      <c r="B3221" s="5" t="s">
        <v>8103</v>
      </c>
      <c r="C3221" s="5" t="s">
        <v>26</v>
      </c>
      <c r="D3221" s="5" t="s">
        <v>27</v>
      </c>
      <c r="E3221" s="5" t="s">
        <v>88</v>
      </c>
      <c r="F3221" s="9">
        <v>18</v>
      </c>
      <c r="G3221" s="9">
        <v>188</v>
      </c>
      <c r="H3221" s="5" t="s">
        <v>21</v>
      </c>
      <c r="I3221" s="5" t="s">
        <v>8104</v>
      </c>
      <c r="J3221" s="12" t="str">
        <f>HYPERLINK("https://www.boe.es/gazeta/dias/1803/03/04/pdfs/GMD-1803-18.pdf#page=8","Abrir facsímil")</f>
        <v>Abrir facsímil</v>
      </c>
      <c r="K3221" s="15" t="s">
        <v>23</v>
      </c>
    </row>
    <row r="3222" spans="1:11" ht="42" customHeight="1">
      <c r="A3222" s="4" t="s">
        <v>8105</v>
      </c>
      <c r="B3222" s="5" t="s">
        <v>8106</v>
      </c>
      <c r="C3222" s="5" t="s">
        <v>26</v>
      </c>
      <c r="D3222" s="5" t="s">
        <v>27</v>
      </c>
      <c r="E3222" s="5" t="s">
        <v>152</v>
      </c>
      <c r="F3222" s="9">
        <v>16</v>
      </c>
      <c r="G3222" s="9">
        <v>167</v>
      </c>
      <c r="H3222" s="5" t="s">
        <v>21</v>
      </c>
      <c r="I3222" s="5" t="s">
        <v>8107</v>
      </c>
      <c r="J3222" s="12" t="str">
        <f>HYPERLINK("https://www.boe.es/gazeta/dias/1803/02/25/pdfs/GMD-1803-16.pdf#page=7","Abrir facsímil")</f>
        <v>Abrir facsímil</v>
      </c>
      <c r="K3222" s="15" t="s">
        <v>23</v>
      </c>
    </row>
    <row r="3223" spans="1:11" ht="42" customHeight="1">
      <c r="A3223" s="4" t="s">
        <v>8108</v>
      </c>
      <c r="B3223" s="5" t="s">
        <v>8109</v>
      </c>
      <c r="C3223" s="5" t="s">
        <v>26</v>
      </c>
      <c r="D3223" s="5" t="s">
        <v>27</v>
      </c>
      <c r="E3223" s="5" t="s">
        <v>68</v>
      </c>
      <c r="F3223" s="9">
        <v>23</v>
      </c>
      <c r="G3223" s="9">
        <v>246</v>
      </c>
      <c r="H3223" s="5" t="s">
        <v>21</v>
      </c>
      <c r="I3223" s="5" t="s">
        <v>8110</v>
      </c>
      <c r="J3223" s="12" t="str">
        <f>HYPERLINK("https://www.boe.es/gazeta/dias/1803/03/22/pdfs/GMD-1803-23.pdf#page=6","Abrir facsímil")</f>
        <v>Abrir facsímil</v>
      </c>
      <c r="K3223" s="15" t="s">
        <v>23</v>
      </c>
    </row>
    <row r="3224" spans="1:11" ht="42" customHeight="1">
      <c r="A3224" s="4" t="s">
        <v>8111</v>
      </c>
      <c r="B3224" s="5" t="s">
        <v>8112</v>
      </c>
      <c r="C3224" s="5" t="s">
        <v>51</v>
      </c>
      <c r="D3224" s="5" t="s">
        <v>52</v>
      </c>
      <c r="E3224" s="5" t="s">
        <v>328</v>
      </c>
      <c r="F3224" s="9">
        <v>54</v>
      </c>
      <c r="G3224" s="9">
        <v>591</v>
      </c>
      <c r="H3224" s="5" t="s">
        <v>21</v>
      </c>
      <c r="I3224" s="5" t="s">
        <v>8113</v>
      </c>
      <c r="J3224" s="12" t="str">
        <f>HYPERLINK("https://www.boe.es/gazeta/dias/1803/07/08/pdfs/GMD-1803-54.pdf#page=11","Abrir facsímil")</f>
        <v>Abrir facsímil</v>
      </c>
      <c r="K3224" s="15" t="s">
        <v>23</v>
      </c>
    </row>
    <row r="3225" spans="1:11" ht="42" customHeight="1">
      <c r="A3225" s="4" t="s">
        <v>8114</v>
      </c>
      <c r="B3225" s="5" t="s">
        <v>8115</v>
      </c>
      <c r="C3225" s="5" t="s">
        <v>26</v>
      </c>
      <c r="D3225" s="5" t="s">
        <v>27</v>
      </c>
      <c r="E3225" s="5" t="s">
        <v>373</v>
      </c>
      <c r="F3225" s="9">
        <v>77</v>
      </c>
      <c r="G3225" s="9">
        <v>834</v>
      </c>
      <c r="H3225" s="5" t="s">
        <v>21</v>
      </c>
      <c r="I3225" s="5" t="s">
        <v>8116</v>
      </c>
      <c r="J3225" s="12" t="str">
        <f>HYPERLINK("https://www.boe.es/gazeta/dias/1803/09/23/pdfs/GMD-1803-77.pdf#page=10","Abrir facsímil")</f>
        <v>Abrir facsímil</v>
      </c>
      <c r="K3225" s="15" t="s">
        <v>23</v>
      </c>
    </row>
    <row r="3226" spans="1:11" ht="42" customHeight="1">
      <c r="A3226" s="4" t="s">
        <v>8117</v>
      </c>
      <c r="B3226" s="5" t="s">
        <v>8118</v>
      </c>
      <c r="C3226" s="5" t="s">
        <v>26</v>
      </c>
      <c r="D3226" s="5" t="s">
        <v>27</v>
      </c>
      <c r="E3226" s="5" t="s">
        <v>1915</v>
      </c>
      <c r="F3226" s="9">
        <v>44</v>
      </c>
      <c r="G3226" s="9">
        <v>460</v>
      </c>
      <c r="H3226" s="5" t="s">
        <v>21</v>
      </c>
      <c r="I3226" s="5" t="s">
        <v>8119</v>
      </c>
      <c r="J3226" s="12" t="str">
        <f>HYPERLINK("https://www.boe.es/gazeta/dias/1803/06/03/pdfs/GMD-1803-44.pdf#page=8","Abrir facsímil")</f>
        <v>Abrir facsímil</v>
      </c>
      <c r="K3226" s="15" t="s">
        <v>23</v>
      </c>
    </row>
    <row r="3227" spans="1:11" ht="42" customHeight="1">
      <c r="A3227" s="4" t="s">
        <v>8117</v>
      </c>
      <c r="B3227" s="5" t="s">
        <v>8118</v>
      </c>
      <c r="C3227" s="5" t="s">
        <v>26</v>
      </c>
      <c r="D3227" s="5" t="s">
        <v>27</v>
      </c>
      <c r="E3227" s="5" t="s">
        <v>278</v>
      </c>
      <c r="F3227" s="9">
        <v>46</v>
      </c>
      <c r="G3227" s="9">
        <v>488</v>
      </c>
      <c r="H3227" s="5" t="s">
        <v>21</v>
      </c>
      <c r="I3227" s="5" t="s">
        <v>8120</v>
      </c>
      <c r="J3227" s="12" t="str">
        <f>HYPERLINK("https://www.boe.es/gazeta/dias/1803/06/10/pdfs/GMD-1803-46.pdf#page=12","Abrir facsímil")</f>
        <v>Abrir facsímil</v>
      </c>
      <c r="K3227" s="15" t="s">
        <v>23</v>
      </c>
    </row>
    <row r="3228" spans="1:11" ht="42" customHeight="1">
      <c r="A3228" s="4" t="s">
        <v>8121</v>
      </c>
      <c r="B3228" s="5" t="s">
        <v>8122</v>
      </c>
      <c r="C3228" s="5" t="s">
        <v>40</v>
      </c>
      <c r="D3228" s="5" t="s">
        <v>41</v>
      </c>
      <c r="E3228" s="5" t="s">
        <v>117</v>
      </c>
      <c r="F3228" s="9">
        <v>59</v>
      </c>
      <c r="G3228" s="9">
        <v>642</v>
      </c>
      <c r="H3228" s="5" t="s">
        <v>21</v>
      </c>
      <c r="I3228" s="5" t="s">
        <v>8123</v>
      </c>
      <c r="J3228" s="12" t="str">
        <f>HYPERLINK("https://www.boe.es/gazeta/dias/1803/07/26/pdfs/GMD-1803-59.pdf#page=2","Abrir facsímil")</f>
        <v>Abrir facsímil</v>
      </c>
      <c r="K3228" s="15" t="s">
        <v>23</v>
      </c>
    </row>
    <row r="3229" spans="1:11" ht="42" customHeight="1">
      <c r="A3229" s="4" t="s">
        <v>8121</v>
      </c>
      <c r="B3229" s="5" t="s">
        <v>8122</v>
      </c>
      <c r="C3229" s="5" t="s">
        <v>40</v>
      </c>
      <c r="D3229" s="5" t="s">
        <v>41</v>
      </c>
      <c r="E3229" s="5" t="s">
        <v>117</v>
      </c>
      <c r="F3229" s="9">
        <v>59</v>
      </c>
      <c r="G3229" s="9">
        <v>643</v>
      </c>
      <c r="H3229" s="5" t="s">
        <v>21</v>
      </c>
      <c r="I3229" s="5" t="s">
        <v>8124</v>
      </c>
      <c r="J3229" s="12" t="str">
        <f>HYPERLINK("https://www.boe.es/gazeta/dias/1803/07/26/pdfs/GMD-1803-59.pdf#page=3","Abrir facsímil")</f>
        <v>Abrir facsímil</v>
      </c>
      <c r="K3229" s="15" t="s">
        <v>23</v>
      </c>
    </row>
    <row r="3230" spans="1:11" ht="42" customHeight="1">
      <c r="A3230" s="4" t="s">
        <v>8121</v>
      </c>
      <c r="B3230" s="5" t="s">
        <v>8122</v>
      </c>
      <c r="C3230" s="5" t="s">
        <v>40</v>
      </c>
      <c r="D3230" s="5" t="s">
        <v>41</v>
      </c>
      <c r="E3230" s="5" t="s">
        <v>407</v>
      </c>
      <c r="F3230" s="9">
        <v>82</v>
      </c>
      <c r="G3230" s="9">
        <v>880</v>
      </c>
      <c r="H3230" s="5" t="s">
        <v>21</v>
      </c>
      <c r="I3230" s="5" t="s">
        <v>8125</v>
      </c>
      <c r="J3230" s="12" t="str">
        <f>HYPERLINK("https://www.boe.es/gazeta/dias/1803/10/11/pdfs/GMD-1803-82.pdf#page=4","Abrir facsímil")</f>
        <v>Abrir facsímil</v>
      </c>
      <c r="K3230" s="15" t="s">
        <v>23</v>
      </c>
    </row>
    <row r="3231" spans="1:11" ht="42" customHeight="1">
      <c r="A3231" s="4" t="s">
        <v>8121</v>
      </c>
      <c r="B3231" s="5" t="s">
        <v>8122</v>
      </c>
      <c r="C3231" s="5" t="s">
        <v>40</v>
      </c>
      <c r="D3231" s="5" t="s">
        <v>41</v>
      </c>
      <c r="E3231" s="5" t="s">
        <v>795</v>
      </c>
      <c r="F3231" s="9">
        <v>98</v>
      </c>
      <c r="G3231" s="9">
        <v>1045</v>
      </c>
      <c r="H3231" s="5" t="s">
        <v>21</v>
      </c>
      <c r="I3231" s="5" t="s">
        <v>8126</v>
      </c>
      <c r="J3231" s="12" t="str">
        <f>HYPERLINK("https://www.boe.es/gazeta/dias/1803/12/06/pdfs/GMD-1803-98.pdf#page=1","Abrir facsímil")</f>
        <v>Abrir facsímil</v>
      </c>
      <c r="K3231" s="15" t="s">
        <v>23</v>
      </c>
    </row>
    <row r="3232" spans="1:11" ht="42" customHeight="1">
      <c r="A3232" s="4" t="s">
        <v>8127</v>
      </c>
      <c r="B3232" s="5" t="s">
        <v>8128</v>
      </c>
      <c r="C3232" s="5" t="s">
        <v>26</v>
      </c>
      <c r="D3232" s="5" t="s">
        <v>27</v>
      </c>
      <c r="E3232" s="5" t="s">
        <v>328</v>
      </c>
      <c r="F3232" s="9">
        <v>54</v>
      </c>
      <c r="G3232" s="9">
        <v>588</v>
      </c>
      <c r="H3232" s="5" t="s">
        <v>21</v>
      </c>
      <c r="I3232" s="5" t="s">
        <v>8129</v>
      </c>
      <c r="J3232" s="12" t="str">
        <f>HYPERLINK("https://www.boe.es/gazeta/dias/1803/07/08/pdfs/GMD-1803-54.pdf#page=8","Abrir facsímil")</f>
        <v>Abrir facsímil</v>
      </c>
      <c r="K3232" s="15" t="s">
        <v>23</v>
      </c>
    </row>
    <row r="3233" spans="1:11" ht="42" customHeight="1">
      <c r="A3233" s="4" t="s">
        <v>8130</v>
      </c>
      <c r="B3233" s="5" t="s">
        <v>8131</v>
      </c>
      <c r="C3233" s="5" t="s">
        <v>26</v>
      </c>
      <c r="D3233" s="5" t="s">
        <v>27</v>
      </c>
      <c r="E3233" s="5" t="s">
        <v>231</v>
      </c>
      <c r="F3233" s="9">
        <v>26</v>
      </c>
      <c r="G3233" s="9">
        <v>273</v>
      </c>
      <c r="H3233" s="5" t="s">
        <v>21</v>
      </c>
      <c r="I3233" s="5" t="s">
        <v>8132</v>
      </c>
      <c r="J3233" s="12" t="str">
        <f>HYPERLINK("https://www.boe.es/gazeta/dias/1803/04/01/pdfs/GMD-1803-26.pdf#page=1","Abrir facsímil")</f>
        <v>Abrir facsímil</v>
      </c>
      <c r="K3233" s="15" t="s">
        <v>23</v>
      </c>
    </row>
    <row r="3234" spans="1:11" ht="42" customHeight="1">
      <c r="A3234" s="4" t="s">
        <v>8133</v>
      </c>
      <c r="B3234" s="5" t="s">
        <v>8134</v>
      </c>
      <c r="C3234" s="5" t="s">
        <v>80</v>
      </c>
      <c r="D3234" s="5" t="s">
        <v>81</v>
      </c>
      <c r="E3234" s="5" t="s">
        <v>138</v>
      </c>
      <c r="F3234" s="9">
        <v>68</v>
      </c>
      <c r="G3234" s="9">
        <v>744</v>
      </c>
      <c r="H3234" s="5" t="s">
        <v>21</v>
      </c>
      <c r="I3234" s="5" t="s">
        <v>8135</v>
      </c>
      <c r="J3234" s="12" t="str">
        <f>HYPERLINK("https://www.boe.es/gazeta/dias/1803/08/26/pdfs/GMD-1803-68.pdf#page=12","Abrir facsímil")</f>
        <v>Abrir facsímil</v>
      </c>
      <c r="K3234" s="15" t="s">
        <v>23</v>
      </c>
    </row>
    <row r="3235" spans="1:11" ht="42" customHeight="1">
      <c r="A3235" s="4" t="s">
        <v>8133</v>
      </c>
      <c r="B3235" s="5" t="s">
        <v>8134</v>
      </c>
      <c r="C3235" s="5" t="s">
        <v>80</v>
      </c>
      <c r="D3235" s="5" t="s">
        <v>81</v>
      </c>
      <c r="E3235" s="5" t="s">
        <v>261</v>
      </c>
      <c r="F3235" s="9">
        <v>70</v>
      </c>
      <c r="G3235" s="9">
        <v>768</v>
      </c>
      <c r="H3235" s="5" t="s">
        <v>21</v>
      </c>
      <c r="I3235" s="5" t="s">
        <v>8136</v>
      </c>
      <c r="J3235" s="12" t="str">
        <f>HYPERLINK("https://www.boe.es/gazeta/dias/1803/09/02/pdfs/GMD-1803-70.pdf#page=8","Abrir facsímil")</f>
        <v>Abrir facsímil</v>
      </c>
      <c r="K3235" s="15" t="s">
        <v>23</v>
      </c>
    </row>
    <row r="3236" spans="1:11" ht="42" customHeight="1">
      <c r="A3236" s="4" t="s">
        <v>8137</v>
      </c>
      <c r="B3236" s="5" t="s">
        <v>8138</v>
      </c>
      <c r="C3236" s="5" t="s">
        <v>26</v>
      </c>
      <c r="D3236" s="5" t="s">
        <v>27</v>
      </c>
      <c r="E3236" s="5" t="s">
        <v>191</v>
      </c>
      <c r="F3236" s="9">
        <v>34</v>
      </c>
      <c r="G3236" s="9">
        <v>358</v>
      </c>
      <c r="H3236" s="5" t="s">
        <v>21</v>
      </c>
      <c r="I3236" s="5" t="s">
        <v>8139</v>
      </c>
      <c r="J3236" s="12" t="str">
        <f>HYPERLINK("https://www.boe.es/gazeta/dias/1803/04/29/pdfs/GMD-1803-34.pdf#page=6","Abrir facsímil")</f>
        <v>Abrir facsímil</v>
      </c>
      <c r="K3236" s="15" t="s">
        <v>23</v>
      </c>
    </row>
    <row r="3237" spans="1:11" ht="42" customHeight="1">
      <c r="A3237" s="4" t="s">
        <v>8140</v>
      </c>
      <c r="B3237" s="5" t="s">
        <v>8141</v>
      </c>
      <c r="C3237" s="5" t="s">
        <v>26</v>
      </c>
      <c r="D3237" s="5" t="s">
        <v>27</v>
      </c>
      <c r="E3237" s="5" t="s">
        <v>113</v>
      </c>
      <c r="F3237" s="9">
        <v>93</v>
      </c>
      <c r="G3237" s="9">
        <v>995</v>
      </c>
      <c r="H3237" s="5" t="s">
        <v>21</v>
      </c>
      <c r="I3237" s="5" t="s">
        <v>8142</v>
      </c>
      <c r="J3237" s="12" t="str">
        <f>HYPERLINK("https://www.boe.es/gazeta/dias/1803/11/18/pdfs/GMD-1803-93.pdf#page=7","Abrir facsímil")</f>
        <v>Abrir facsímil</v>
      </c>
      <c r="K3237" s="15" t="s">
        <v>23</v>
      </c>
    </row>
    <row r="3238" spans="1:11" ht="42" customHeight="1">
      <c r="A3238" s="4" t="s">
        <v>8143</v>
      </c>
      <c r="B3238" s="5" t="s">
        <v>8144</v>
      </c>
      <c r="C3238" s="5" t="s">
        <v>18</v>
      </c>
      <c r="D3238" s="5" t="s">
        <v>19</v>
      </c>
      <c r="E3238" s="5" t="s">
        <v>211</v>
      </c>
      <c r="F3238" s="9">
        <v>71</v>
      </c>
      <c r="G3238" s="9">
        <v>778</v>
      </c>
      <c r="H3238" s="5" t="s">
        <v>21</v>
      </c>
      <c r="I3238" s="5" t="s">
        <v>8145</v>
      </c>
      <c r="J3238" s="12" t="str">
        <f>HYPERLINK("https://www.boe.es/gazeta/dias/1803/09/06/pdfs/GMD-1803-71.pdf#page=10","Abrir facsímil")</f>
        <v>Abrir facsímil</v>
      </c>
      <c r="K3238" s="15" t="s">
        <v>23</v>
      </c>
    </row>
    <row r="3239" spans="1:11" ht="42" customHeight="1">
      <c r="A3239" s="4" t="s">
        <v>8146</v>
      </c>
      <c r="B3239" s="5" t="s">
        <v>8147</v>
      </c>
      <c r="C3239" s="5" t="s">
        <v>26</v>
      </c>
      <c r="D3239" s="5" t="s">
        <v>27</v>
      </c>
      <c r="E3239" s="5" t="s">
        <v>75</v>
      </c>
      <c r="F3239" s="9">
        <v>56</v>
      </c>
      <c r="G3239" s="9">
        <v>611</v>
      </c>
      <c r="H3239" s="5" t="s">
        <v>21</v>
      </c>
      <c r="I3239" s="5" t="s">
        <v>8148</v>
      </c>
      <c r="J3239" s="12" t="str">
        <f>HYPERLINK("https://www.boe.es/gazeta/dias/1803/07/15/pdfs/GMD-1803-56.pdf#page=7","Abrir facsímil")</f>
        <v>Abrir facsímil</v>
      </c>
      <c r="K3239" s="15" t="s">
        <v>23</v>
      </c>
    </row>
    <row r="3240" spans="1:11" ht="42" customHeight="1">
      <c r="A3240" s="4" t="s">
        <v>8149</v>
      </c>
      <c r="B3240" s="5" t="s">
        <v>8150</v>
      </c>
      <c r="C3240" s="5" t="s">
        <v>26</v>
      </c>
      <c r="D3240" s="5" t="s">
        <v>27</v>
      </c>
      <c r="E3240" s="5" t="s">
        <v>278</v>
      </c>
      <c r="F3240" s="9">
        <v>46</v>
      </c>
      <c r="G3240" s="9">
        <v>487</v>
      </c>
      <c r="H3240" s="5" t="s">
        <v>21</v>
      </c>
      <c r="I3240" s="5" t="s">
        <v>8151</v>
      </c>
      <c r="J3240" s="12" t="str">
        <f>HYPERLINK("https://www.boe.es/gazeta/dias/1803/06/10/pdfs/GMD-1803-46.pdf#page=11","Abrir facsímil")</f>
        <v>Abrir facsímil</v>
      </c>
      <c r="K3240" s="15" t="s">
        <v>23</v>
      </c>
    </row>
    <row r="3241" spans="1:11" ht="42" customHeight="1">
      <c r="A3241" s="4" t="s">
        <v>8152</v>
      </c>
      <c r="B3241" s="5" t="s">
        <v>8153</v>
      </c>
      <c r="C3241" s="5" t="s">
        <v>46</v>
      </c>
      <c r="D3241" s="5" t="s">
        <v>19</v>
      </c>
      <c r="E3241" s="5" t="s">
        <v>501</v>
      </c>
      <c r="F3241" s="9">
        <v>22</v>
      </c>
      <c r="G3241" s="9">
        <v>237</v>
      </c>
      <c r="H3241" s="5" t="s">
        <v>21</v>
      </c>
      <c r="I3241" s="5" t="s">
        <v>8154</v>
      </c>
      <c r="J3241" s="12" t="str">
        <f>HYPERLINK("https://www.boe.es/gazeta/dias/1803/03/18/pdfs/GMD-1803-22.pdf#page=9","Abrir facsímil")</f>
        <v>Abrir facsímil</v>
      </c>
      <c r="K3241" s="15" t="s">
        <v>23</v>
      </c>
    </row>
    <row r="3242" spans="1:11" ht="42" customHeight="1">
      <c r="A3242" s="4" t="s">
        <v>8155</v>
      </c>
      <c r="B3242" s="5" t="s">
        <v>8156</v>
      </c>
      <c r="C3242" s="5" t="s">
        <v>46</v>
      </c>
      <c r="D3242" s="5" t="s">
        <v>19</v>
      </c>
      <c r="E3242" s="5" t="s">
        <v>336</v>
      </c>
      <c r="F3242" s="9">
        <v>105</v>
      </c>
      <c r="G3242" s="9">
        <v>1121</v>
      </c>
      <c r="H3242" s="5" t="s">
        <v>21</v>
      </c>
      <c r="I3242" s="5" t="s">
        <v>8157</v>
      </c>
      <c r="J3242" s="12" t="str">
        <f>HYPERLINK("https://www.boe.es/gazeta/dias/1803/12/30/pdfs/GMD-1803-105.pdf#page=5","Abrir facsímil")</f>
        <v>Abrir facsímil</v>
      </c>
      <c r="K3242" s="15" t="s">
        <v>23</v>
      </c>
    </row>
    <row r="3243" spans="1:11" ht="42" customHeight="1">
      <c r="A3243" s="4" t="s">
        <v>8158</v>
      </c>
      <c r="B3243" s="5" t="s">
        <v>8159</v>
      </c>
      <c r="C3243" s="5" t="s">
        <v>26</v>
      </c>
      <c r="D3243" s="5" t="s">
        <v>27</v>
      </c>
      <c r="E3243" s="5" t="s">
        <v>882</v>
      </c>
      <c r="F3243" s="9">
        <v>60</v>
      </c>
      <c r="G3243" s="9">
        <v>656</v>
      </c>
      <c r="H3243" s="5" t="s">
        <v>21</v>
      </c>
      <c r="I3243" s="5" t="s">
        <v>8160</v>
      </c>
      <c r="J3243" s="12" t="str">
        <f>HYPERLINK("https://www.boe.es/gazeta/dias/1803/07/29/pdfs/GMD-1803-60.pdf#page=8","Abrir facsímil")</f>
        <v>Abrir facsímil</v>
      </c>
      <c r="K3243" s="15" t="s">
        <v>23</v>
      </c>
    </row>
    <row r="3244" spans="1:11" ht="42" customHeight="1">
      <c r="A3244" s="4" t="s">
        <v>8161</v>
      </c>
      <c r="B3244" s="5" t="s">
        <v>8162</v>
      </c>
      <c r="C3244" s="5" t="s">
        <v>26</v>
      </c>
      <c r="D3244" s="5" t="s">
        <v>27</v>
      </c>
      <c r="E3244" s="5" t="s">
        <v>71</v>
      </c>
      <c r="F3244" s="9">
        <v>39</v>
      </c>
      <c r="G3244" s="9">
        <v>413</v>
      </c>
      <c r="H3244" s="5" t="s">
        <v>21</v>
      </c>
      <c r="I3244" s="5" t="s">
        <v>8163</v>
      </c>
      <c r="J3244" s="12" t="str">
        <f>HYPERLINK("https://www.boe.es/gazeta/dias/1803/05/17/pdfs/GMD-1803-39.pdf#page=9","Abrir facsímil")</f>
        <v>Abrir facsímil</v>
      </c>
      <c r="K3244" s="15" t="s">
        <v>23</v>
      </c>
    </row>
    <row r="3245" spans="1:11" ht="42" customHeight="1">
      <c r="A3245" s="4" t="s">
        <v>8164</v>
      </c>
      <c r="B3245" s="5" t="s">
        <v>8165</v>
      </c>
      <c r="C3245" s="5" t="s">
        <v>51</v>
      </c>
      <c r="D3245" s="5" t="s">
        <v>52</v>
      </c>
      <c r="E3245" s="5" t="s">
        <v>36</v>
      </c>
      <c r="F3245" s="9">
        <v>79</v>
      </c>
      <c r="G3245" s="9">
        <v>855</v>
      </c>
      <c r="H3245" s="5" t="s">
        <v>21</v>
      </c>
      <c r="I3245" s="5" t="s">
        <v>8166</v>
      </c>
      <c r="J3245" s="12" t="str">
        <f>HYPERLINK("https://www.boe.es/gazeta/dias/1803/09/30/pdfs/GMD-1803-79.pdf#page=7","Abrir facsímil")</f>
        <v>Abrir facsímil</v>
      </c>
      <c r="K3245" s="15" t="s">
        <v>23</v>
      </c>
    </row>
    <row r="3246" spans="1:11" ht="42" customHeight="1">
      <c r="A3246" s="4" t="s">
        <v>8167</v>
      </c>
      <c r="B3246" s="5" t="s">
        <v>8168</v>
      </c>
      <c r="C3246" s="5" t="s">
        <v>26</v>
      </c>
      <c r="D3246" s="5" t="s">
        <v>27</v>
      </c>
      <c r="E3246" s="5" t="s">
        <v>619</v>
      </c>
      <c r="F3246" s="9">
        <v>53</v>
      </c>
      <c r="G3246" s="9">
        <v>576</v>
      </c>
      <c r="H3246" s="5" t="s">
        <v>21</v>
      </c>
      <c r="I3246" s="5" t="s">
        <v>8169</v>
      </c>
      <c r="J3246" s="12" t="str">
        <f>HYPERLINK("https://www.boe.es/gazeta/dias/1803/07/05/pdfs/GMD-1803-53.pdf#page=8","Abrir facsímil")</f>
        <v>Abrir facsímil</v>
      </c>
      <c r="K3246" s="15" t="s">
        <v>23</v>
      </c>
    </row>
    <row r="3247" spans="1:11" ht="42" customHeight="1">
      <c r="A3247" s="4" t="s">
        <v>8170</v>
      </c>
      <c r="B3247" s="5" t="s">
        <v>8171</v>
      </c>
      <c r="C3247" s="5" t="s">
        <v>51</v>
      </c>
      <c r="D3247" s="5" t="s">
        <v>52</v>
      </c>
      <c r="E3247" s="5" t="s">
        <v>85</v>
      </c>
      <c r="F3247" s="9">
        <v>49</v>
      </c>
      <c r="G3247" s="9">
        <v>520</v>
      </c>
      <c r="H3247" s="5" t="s">
        <v>21</v>
      </c>
      <c r="I3247" s="5" t="s">
        <v>8172</v>
      </c>
      <c r="J3247" s="12" t="str">
        <f>HYPERLINK("https://www.boe.es/gazeta/dias/1803/06/21/pdfs/GMD-1803-49.pdf#page=8","Abrir facsímil")</f>
        <v>Abrir facsímil</v>
      </c>
      <c r="K3247" s="15" t="s">
        <v>23</v>
      </c>
    </row>
    <row r="3248" spans="1:11" ht="42" customHeight="1">
      <c r="A3248" s="4" t="s">
        <v>8170</v>
      </c>
      <c r="B3248" s="5" t="s">
        <v>8171</v>
      </c>
      <c r="C3248" s="5" t="s">
        <v>40</v>
      </c>
      <c r="D3248" s="5" t="s">
        <v>41</v>
      </c>
      <c r="E3248" s="5" t="s">
        <v>328</v>
      </c>
      <c r="F3248" s="9">
        <v>54</v>
      </c>
      <c r="G3248" s="9">
        <v>588</v>
      </c>
      <c r="H3248" s="5" t="s">
        <v>21</v>
      </c>
      <c r="I3248" s="5" t="s">
        <v>8173</v>
      </c>
      <c r="J3248" s="12" t="str">
        <f>HYPERLINK("https://www.boe.es/gazeta/dias/1803/07/08/pdfs/GMD-1803-54.pdf#page=8","Abrir facsímil")</f>
        <v>Abrir facsímil</v>
      </c>
      <c r="K3248" s="15" t="s">
        <v>23</v>
      </c>
    </row>
    <row r="3249" spans="1:11" ht="42" customHeight="1">
      <c r="A3249" s="4" t="s">
        <v>8170</v>
      </c>
      <c r="B3249" s="5" t="s">
        <v>8171</v>
      </c>
      <c r="C3249" s="5" t="s">
        <v>40</v>
      </c>
      <c r="D3249" s="5" t="s">
        <v>41</v>
      </c>
      <c r="E3249" s="5" t="s">
        <v>75</v>
      </c>
      <c r="F3249" s="9">
        <v>56</v>
      </c>
      <c r="G3249" s="9">
        <v>605</v>
      </c>
      <c r="H3249" s="5" t="s">
        <v>21</v>
      </c>
      <c r="I3249" s="5" t="s">
        <v>8174</v>
      </c>
      <c r="J3249" s="12" t="str">
        <f>HYPERLINK("https://www.boe.es/gazeta/dias/1803/07/15/pdfs/GMD-1803-56.pdf#page=1","Abrir facsímil")</f>
        <v>Abrir facsímil</v>
      </c>
      <c r="K3249" s="15" t="s">
        <v>23</v>
      </c>
    </row>
    <row r="3250" spans="1:11" ht="42" customHeight="1">
      <c r="A3250" s="4" t="s">
        <v>8170</v>
      </c>
      <c r="B3250" s="5" t="s">
        <v>8171</v>
      </c>
      <c r="C3250" s="5" t="s">
        <v>26</v>
      </c>
      <c r="D3250" s="5" t="s">
        <v>27</v>
      </c>
      <c r="E3250" s="5" t="s">
        <v>609</v>
      </c>
      <c r="F3250" s="9">
        <v>57</v>
      </c>
      <c r="G3250" s="9">
        <v>614</v>
      </c>
      <c r="H3250" s="5" t="s">
        <v>21</v>
      </c>
      <c r="I3250" s="5" t="s">
        <v>8175</v>
      </c>
      <c r="J3250" s="12" t="str">
        <f>HYPERLINK("https://www.boe.es/gazeta/dias/1803/07/19/pdfs/GMD-1803-57.pdf#page=2","Abrir facsímil")</f>
        <v>Abrir facsímil</v>
      </c>
      <c r="K3250" s="15" t="s">
        <v>23</v>
      </c>
    </row>
    <row r="3251" spans="1:11" ht="42" customHeight="1">
      <c r="A3251" s="4" t="s">
        <v>8170</v>
      </c>
      <c r="B3251" s="5" t="s">
        <v>8171</v>
      </c>
      <c r="C3251" s="5" t="s">
        <v>51</v>
      </c>
      <c r="D3251" s="5" t="s">
        <v>52</v>
      </c>
      <c r="E3251" s="5" t="s">
        <v>391</v>
      </c>
      <c r="F3251" s="9">
        <v>61</v>
      </c>
      <c r="G3251" s="9">
        <v>665</v>
      </c>
      <c r="H3251" s="5" t="s">
        <v>21</v>
      </c>
      <c r="I3251" s="5" t="s">
        <v>8176</v>
      </c>
      <c r="J3251" s="12" t="str">
        <f>HYPERLINK("https://www.boe.es/gazeta/dias/1803/08/02/pdfs/GMD-1803-61.pdf#page=5","Abrir facsímil")</f>
        <v>Abrir facsímil</v>
      </c>
      <c r="K3251" s="15" t="s">
        <v>23</v>
      </c>
    </row>
    <row r="3252" spans="1:11" ht="42" customHeight="1">
      <c r="A3252" s="4" t="s">
        <v>8170</v>
      </c>
      <c r="B3252" s="5" t="s">
        <v>8171</v>
      </c>
      <c r="C3252" s="5" t="s">
        <v>26</v>
      </c>
      <c r="D3252" s="5" t="s">
        <v>27</v>
      </c>
      <c r="E3252" s="5" t="s">
        <v>391</v>
      </c>
      <c r="F3252" s="9">
        <v>61</v>
      </c>
      <c r="G3252" s="9">
        <v>666</v>
      </c>
      <c r="H3252" s="5" t="s">
        <v>21</v>
      </c>
      <c r="I3252" s="5" t="s">
        <v>8177</v>
      </c>
      <c r="J3252" s="12" t="str">
        <f>HYPERLINK("https://www.boe.es/gazeta/dias/1803/08/02/pdfs/GMD-1803-61.pdf#page=6","Abrir facsímil")</f>
        <v>Abrir facsímil</v>
      </c>
      <c r="K3252" s="15" t="s">
        <v>23</v>
      </c>
    </row>
    <row r="3253" spans="1:11" ht="42" customHeight="1">
      <c r="A3253" s="4" t="s">
        <v>8170</v>
      </c>
      <c r="B3253" s="5" t="s">
        <v>8171</v>
      </c>
      <c r="C3253" s="5" t="s">
        <v>40</v>
      </c>
      <c r="D3253" s="5" t="s">
        <v>41</v>
      </c>
      <c r="E3253" s="5" t="s">
        <v>407</v>
      </c>
      <c r="F3253" s="9">
        <v>82</v>
      </c>
      <c r="G3253" s="9">
        <v>880</v>
      </c>
      <c r="H3253" s="5" t="s">
        <v>21</v>
      </c>
      <c r="I3253" s="5" t="s">
        <v>8178</v>
      </c>
      <c r="J3253" s="12" t="str">
        <f>HYPERLINK("https://www.boe.es/gazeta/dias/1803/10/11/pdfs/GMD-1803-82.pdf#page=4","Abrir facsímil")</f>
        <v>Abrir facsímil</v>
      </c>
      <c r="K3253" s="15" t="s">
        <v>23</v>
      </c>
    </row>
    <row r="3254" spans="1:11" ht="42" customHeight="1">
      <c r="A3254" s="4" t="s">
        <v>8170</v>
      </c>
      <c r="B3254" s="5" t="s">
        <v>8171</v>
      </c>
      <c r="C3254" s="5" t="s">
        <v>40</v>
      </c>
      <c r="D3254" s="5" t="s">
        <v>41</v>
      </c>
      <c r="E3254" s="5" t="s">
        <v>407</v>
      </c>
      <c r="F3254" s="9">
        <v>82</v>
      </c>
      <c r="G3254" s="9">
        <v>881</v>
      </c>
      <c r="H3254" s="5" t="s">
        <v>21</v>
      </c>
      <c r="I3254" s="5" t="s">
        <v>8179</v>
      </c>
      <c r="J3254" s="12" t="str">
        <f>HYPERLINK("https://www.boe.es/gazeta/dias/1803/10/11/pdfs/GMD-1803-82.pdf#page=5","Abrir facsímil")</f>
        <v>Abrir facsímil</v>
      </c>
      <c r="K3254" s="15" t="s">
        <v>23</v>
      </c>
    </row>
    <row r="3255" spans="1:11" ht="42" customHeight="1">
      <c r="A3255" s="4" t="s">
        <v>8170</v>
      </c>
      <c r="B3255" s="5" t="s">
        <v>8171</v>
      </c>
      <c r="C3255" s="5" t="s">
        <v>40</v>
      </c>
      <c r="D3255" s="5" t="s">
        <v>41</v>
      </c>
      <c r="E3255" s="5" t="s">
        <v>555</v>
      </c>
      <c r="F3255" s="9">
        <v>83</v>
      </c>
      <c r="G3255" s="9">
        <v>889</v>
      </c>
      <c r="H3255" s="5" t="s">
        <v>21</v>
      </c>
      <c r="I3255" s="5" t="s">
        <v>8180</v>
      </c>
      <c r="J3255" s="12" t="str">
        <f>HYPERLINK("https://www.boe.es/gazeta/dias/1803/10/14/pdfs/GMD-1803-83.pdf#page=1","Abrir facsímil")</f>
        <v>Abrir facsímil</v>
      </c>
      <c r="K3255" s="15" t="s">
        <v>23</v>
      </c>
    </row>
    <row r="3256" spans="1:11" ht="42" customHeight="1">
      <c r="A3256" s="4" t="s">
        <v>8170</v>
      </c>
      <c r="B3256" s="5" t="s">
        <v>8171</v>
      </c>
      <c r="C3256" s="5" t="s">
        <v>40</v>
      </c>
      <c r="D3256" s="5" t="s">
        <v>41</v>
      </c>
      <c r="E3256" s="5" t="s">
        <v>555</v>
      </c>
      <c r="F3256" s="9">
        <v>83</v>
      </c>
      <c r="G3256" s="9">
        <v>890</v>
      </c>
      <c r="H3256" s="5" t="s">
        <v>21</v>
      </c>
      <c r="I3256" s="5" t="s">
        <v>8181</v>
      </c>
      <c r="J3256" s="12" t="str">
        <f>HYPERLINK("https://www.boe.es/gazeta/dias/1803/10/14/pdfs/GMD-1803-83.pdf#page=2","Abrir facsímil")</f>
        <v>Abrir facsímil</v>
      </c>
      <c r="K3256" s="15" t="s">
        <v>23</v>
      </c>
    </row>
    <row r="3257" spans="1:11" ht="42" customHeight="1">
      <c r="A3257" s="4" t="s">
        <v>8170</v>
      </c>
      <c r="B3257" s="5" t="s">
        <v>8171</v>
      </c>
      <c r="C3257" s="5" t="s">
        <v>26</v>
      </c>
      <c r="D3257" s="5" t="s">
        <v>27</v>
      </c>
      <c r="E3257" s="5" t="s">
        <v>164</v>
      </c>
      <c r="F3257" s="9">
        <v>84</v>
      </c>
      <c r="G3257" s="9">
        <v>898</v>
      </c>
      <c r="H3257" s="5" t="s">
        <v>21</v>
      </c>
      <c r="I3257" s="5" t="s">
        <v>8182</v>
      </c>
      <c r="J3257" s="12" t="str">
        <f>HYPERLINK("https://www.boe.es/gazeta/dias/1803/10/18/pdfs/GMD-1803-84.pdf#page=2","Abrir facsímil")</f>
        <v>Abrir facsímil</v>
      </c>
      <c r="K3257" s="15" t="s">
        <v>23</v>
      </c>
    </row>
    <row r="3258" spans="1:11" ht="42" customHeight="1">
      <c r="A3258" s="4" t="s">
        <v>8170</v>
      </c>
      <c r="B3258" s="5" t="s">
        <v>8171</v>
      </c>
      <c r="C3258" s="5" t="s">
        <v>40</v>
      </c>
      <c r="D3258" s="5" t="s">
        <v>41</v>
      </c>
      <c r="E3258" s="5" t="s">
        <v>164</v>
      </c>
      <c r="F3258" s="9">
        <v>84</v>
      </c>
      <c r="G3258" s="9">
        <v>900</v>
      </c>
      <c r="H3258" s="5" t="s">
        <v>21</v>
      </c>
      <c r="I3258" s="5" t="s">
        <v>8183</v>
      </c>
      <c r="J3258" s="12" t="str">
        <f>HYPERLINK("https://www.boe.es/gazeta/dias/1803/10/18/pdfs/GMD-1803-84.pdf#page=4","Abrir facsímil")</f>
        <v>Abrir facsímil</v>
      </c>
      <c r="K3258" s="15" t="s">
        <v>23</v>
      </c>
    </row>
    <row r="3259" spans="1:11" ht="42" customHeight="1">
      <c r="A3259" s="4" t="s">
        <v>8170</v>
      </c>
      <c r="B3259" s="5" t="s">
        <v>8171</v>
      </c>
      <c r="C3259" s="5" t="s">
        <v>40</v>
      </c>
      <c r="D3259" s="5" t="s">
        <v>41</v>
      </c>
      <c r="E3259" s="5" t="s">
        <v>164</v>
      </c>
      <c r="F3259" s="9">
        <v>84</v>
      </c>
      <c r="G3259" s="9">
        <v>901</v>
      </c>
      <c r="H3259" s="5" t="s">
        <v>21</v>
      </c>
      <c r="I3259" s="5" t="s">
        <v>8184</v>
      </c>
      <c r="J3259" s="12" t="str">
        <f>HYPERLINK("https://www.boe.es/gazeta/dias/1803/10/18/pdfs/GMD-1803-84.pdf#page=5","Abrir facsímil")</f>
        <v>Abrir facsímil</v>
      </c>
      <c r="K3259" s="15" t="s">
        <v>23</v>
      </c>
    </row>
    <row r="3260" spans="1:11" ht="42" customHeight="1">
      <c r="A3260" s="4" t="s">
        <v>8185</v>
      </c>
      <c r="B3260" s="5" t="s">
        <v>8186</v>
      </c>
      <c r="C3260" s="5" t="s">
        <v>26</v>
      </c>
      <c r="D3260" s="5" t="s">
        <v>27</v>
      </c>
      <c r="E3260" s="5" t="s">
        <v>85</v>
      </c>
      <c r="F3260" s="9">
        <v>49</v>
      </c>
      <c r="G3260" s="9">
        <v>520</v>
      </c>
      <c r="H3260" s="5" t="s">
        <v>21</v>
      </c>
      <c r="I3260" s="5" t="s">
        <v>8187</v>
      </c>
      <c r="J3260" s="12" t="str">
        <f>HYPERLINK("https://www.boe.es/gazeta/dias/1803/06/21/pdfs/GMD-1803-49.pdf#page=8","Abrir facsímil")</f>
        <v>Abrir facsímil</v>
      </c>
      <c r="K3260" s="15" t="s">
        <v>23</v>
      </c>
    </row>
    <row r="3261" spans="1:11" ht="42" customHeight="1">
      <c r="A3261" s="4" t="s">
        <v>8185</v>
      </c>
      <c r="B3261" s="5" t="s">
        <v>8186</v>
      </c>
      <c r="C3261" s="5" t="s">
        <v>26</v>
      </c>
      <c r="D3261" s="5" t="s">
        <v>27</v>
      </c>
      <c r="E3261" s="5" t="s">
        <v>132</v>
      </c>
      <c r="F3261" s="9">
        <v>58</v>
      </c>
      <c r="G3261" s="9">
        <v>631</v>
      </c>
      <c r="H3261" s="5" t="s">
        <v>21</v>
      </c>
      <c r="I3261" s="5" t="s">
        <v>8188</v>
      </c>
      <c r="J3261" s="12" t="str">
        <f>HYPERLINK("https://www.boe.es/gazeta/dias/1803/07/22/pdfs/GMD-1803-58.pdf#page=3","Abrir facsímil")</f>
        <v>Abrir facsímil</v>
      </c>
      <c r="K3261" s="15" t="s">
        <v>23</v>
      </c>
    </row>
    <row r="3262" spans="1:11" ht="42" customHeight="1">
      <c r="A3262" s="4" t="s">
        <v>8185</v>
      </c>
      <c r="B3262" s="5" t="s">
        <v>8186</v>
      </c>
      <c r="C3262" s="5" t="s">
        <v>26</v>
      </c>
      <c r="D3262" s="5" t="s">
        <v>27</v>
      </c>
      <c r="E3262" s="5" t="s">
        <v>391</v>
      </c>
      <c r="F3262" s="9">
        <v>61</v>
      </c>
      <c r="G3262" s="9">
        <v>667</v>
      </c>
      <c r="H3262" s="5" t="s">
        <v>21</v>
      </c>
      <c r="I3262" s="5" t="s">
        <v>8189</v>
      </c>
      <c r="J3262" s="12" t="str">
        <f>HYPERLINK("https://www.boe.es/gazeta/dias/1803/08/02/pdfs/GMD-1803-61.pdf#page=7","Abrir facsímil")</f>
        <v>Abrir facsímil</v>
      </c>
      <c r="K3262" s="15" t="s">
        <v>23</v>
      </c>
    </row>
    <row r="3263" spans="1:11" ht="42" customHeight="1">
      <c r="A3263" s="4" t="s">
        <v>8185</v>
      </c>
      <c r="B3263" s="5" t="s">
        <v>8186</v>
      </c>
      <c r="C3263" s="5" t="s">
        <v>26</v>
      </c>
      <c r="D3263" s="5" t="s">
        <v>27</v>
      </c>
      <c r="E3263" s="5" t="s">
        <v>910</v>
      </c>
      <c r="F3263" s="9">
        <v>66</v>
      </c>
      <c r="G3263" s="9">
        <v>717</v>
      </c>
      <c r="H3263" s="5" t="s">
        <v>21</v>
      </c>
      <c r="I3263" s="5" t="s">
        <v>8190</v>
      </c>
      <c r="J3263" s="12" t="str">
        <f>HYPERLINK("https://www.boe.es/gazeta/dias/1803/08/19/pdfs/GMD-1803-66.pdf#page=5","Abrir facsímil")</f>
        <v>Abrir facsímil</v>
      </c>
      <c r="K3263" s="15" t="s">
        <v>23</v>
      </c>
    </row>
    <row r="3264" spans="1:11" ht="42" customHeight="1">
      <c r="A3264" s="4" t="s">
        <v>8191</v>
      </c>
      <c r="B3264" s="5" t="s">
        <v>8192</v>
      </c>
      <c r="C3264" s="5" t="s">
        <v>40</v>
      </c>
      <c r="D3264" s="5" t="s">
        <v>41</v>
      </c>
      <c r="E3264" s="5" t="s">
        <v>189</v>
      </c>
      <c r="F3264" s="9">
        <v>9</v>
      </c>
      <c r="G3264" s="9">
        <v>85</v>
      </c>
      <c r="H3264" s="5" t="s">
        <v>21</v>
      </c>
      <c r="I3264" s="5" t="s">
        <v>8193</v>
      </c>
      <c r="J3264" s="12" t="str">
        <f>HYPERLINK("https://www.boe.es/gazeta/dias/1803/02/01/pdfs/GMD-1803-9.pdf#page=1","Abrir facsímil")</f>
        <v>Abrir facsímil</v>
      </c>
      <c r="K3264" s="15" t="s">
        <v>23</v>
      </c>
    </row>
    <row r="3265" spans="1:11" ht="42" customHeight="1">
      <c r="A3265" s="4" t="s">
        <v>8194</v>
      </c>
      <c r="B3265" s="5" t="s">
        <v>8195</v>
      </c>
      <c r="C3265" s="5" t="s">
        <v>26</v>
      </c>
      <c r="D3265" s="5" t="s">
        <v>27</v>
      </c>
      <c r="E3265" s="5" t="s">
        <v>399</v>
      </c>
      <c r="F3265" s="9">
        <v>95</v>
      </c>
      <c r="G3265" s="9">
        <v>1018</v>
      </c>
      <c r="H3265" s="5" t="s">
        <v>21</v>
      </c>
      <c r="I3265" s="5" t="s">
        <v>8196</v>
      </c>
      <c r="J3265" s="12" t="str">
        <f>HYPERLINK("https://www.boe.es/gazeta/dias/1803/11/25/pdfs/GMD-1803-95.pdf#page=6","Abrir facsímil")</f>
        <v>Abrir facsímil</v>
      </c>
      <c r="K3265" s="15" t="s">
        <v>23</v>
      </c>
    </row>
    <row r="3266" spans="1:11" ht="42" customHeight="1">
      <c r="A3266" s="4" t="s">
        <v>8197</v>
      </c>
      <c r="B3266" s="5" t="s">
        <v>8198</v>
      </c>
      <c r="C3266" s="5" t="s">
        <v>26</v>
      </c>
      <c r="D3266" s="5" t="s">
        <v>27</v>
      </c>
      <c r="E3266" s="5" t="s">
        <v>189</v>
      </c>
      <c r="F3266" s="9">
        <v>9</v>
      </c>
      <c r="G3266" s="9">
        <v>93</v>
      </c>
      <c r="H3266" s="5" t="s">
        <v>21</v>
      </c>
      <c r="I3266" s="5" t="s">
        <v>8199</v>
      </c>
      <c r="J3266" s="12" t="str">
        <f>HYPERLINK("https://www.boe.es/gazeta/dias/1803/02/01/pdfs/GMD-1803-9.pdf#page=9","Abrir facsímil")</f>
        <v>Abrir facsímil</v>
      </c>
      <c r="K3266" s="15" t="s">
        <v>23</v>
      </c>
    </row>
    <row r="3267" spans="1:11" ht="42" customHeight="1">
      <c r="A3267" s="4" t="s">
        <v>8200</v>
      </c>
      <c r="B3267" s="5" t="s">
        <v>8201</v>
      </c>
      <c r="C3267" s="5" t="s">
        <v>26</v>
      </c>
      <c r="D3267" s="5" t="s">
        <v>27</v>
      </c>
      <c r="E3267" s="5" t="s">
        <v>174</v>
      </c>
      <c r="F3267" s="9">
        <v>21</v>
      </c>
      <c r="G3267" s="9">
        <v>223</v>
      </c>
      <c r="H3267" s="5" t="s">
        <v>21</v>
      </c>
      <c r="I3267" s="5" t="s">
        <v>8202</v>
      </c>
      <c r="J3267" s="12" t="str">
        <f>HYPERLINK("https://www.boe.es/gazeta/dias/1803/03/15/pdfs/GMD-1803-21.pdf#page=7","Abrir facsímil")</f>
        <v>Abrir facsímil</v>
      </c>
      <c r="K3267" s="15" t="s">
        <v>23</v>
      </c>
    </row>
    <row r="3268" spans="1:11" ht="42" customHeight="1">
      <c r="A3268" s="4" t="s">
        <v>8203</v>
      </c>
      <c r="B3268" s="5" t="s">
        <v>8204</v>
      </c>
      <c r="C3268" s="5" t="s">
        <v>18</v>
      </c>
      <c r="D3268" s="5" t="s">
        <v>19</v>
      </c>
      <c r="E3268" s="5" t="s">
        <v>272</v>
      </c>
      <c r="F3268" s="9">
        <v>25</v>
      </c>
      <c r="G3268" s="9">
        <v>266</v>
      </c>
      <c r="H3268" s="5" t="s">
        <v>21</v>
      </c>
      <c r="I3268" s="5" t="s">
        <v>8205</v>
      </c>
      <c r="J3268" s="12" t="str">
        <f>HYPERLINK("https://www.boe.es/gazeta/dias/1803/03/29/pdfs/GMD-1803-25.pdf#page=6","Abrir facsímil")</f>
        <v>Abrir facsímil</v>
      </c>
      <c r="K3268" s="15" t="s">
        <v>23</v>
      </c>
    </row>
    <row r="3269" spans="1:11" ht="42" customHeight="1">
      <c r="A3269" s="4" t="s">
        <v>8206</v>
      </c>
      <c r="B3269" s="5" t="s">
        <v>8207</v>
      </c>
      <c r="C3269" s="5" t="s">
        <v>26</v>
      </c>
      <c r="D3269" s="5" t="s">
        <v>27</v>
      </c>
      <c r="E3269" s="5" t="s">
        <v>609</v>
      </c>
      <c r="F3269" s="9">
        <v>57</v>
      </c>
      <c r="G3269" s="9">
        <v>619</v>
      </c>
      <c r="H3269" s="5" t="s">
        <v>21</v>
      </c>
      <c r="I3269" s="5" t="s">
        <v>8208</v>
      </c>
      <c r="J3269" s="12" t="str">
        <f>HYPERLINK("https://www.boe.es/gazeta/dias/1803/07/19/pdfs/GMD-1803-57.pdf#page=7","Abrir facsímil")</f>
        <v>Abrir facsímil</v>
      </c>
      <c r="K3269" s="15" t="s">
        <v>23</v>
      </c>
    </row>
    <row r="3270" spans="1:11" ht="42" customHeight="1">
      <c r="A3270" s="4" t="s">
        <v>8209</v>
      </c>
      <c r="B3270" s="5" t="s">
        <v>8209</v>
      </c>
      <c r="C3270" s="5" t="s">
        <v>40</v>
      </c>
      <c r="D3270" s="5" t="s">
        <v>41</v>
      </c>
      <c r="E3270" s="5" t="s">
        <v>571</v>
      </c>
      <c r="F3270" s="9">
        <v>103</v>
      </c>
      <c r="G3270" s="9">
        <v>1104</v>
      </c>
      <c r="H3270" s="5" t="s">
        <v>21</v>
      </c>
      <c r="I3270" s="5" t="s">
        <v>8210</v>
      </c>
      <c r="J3270" s="12" t="str">
        <f>HYPERLINK("https://www.boe.es/gazeta/dias/1803/12/23/pdfs/GMD-1803-103.pdf#page=4","Abrir facsímil")</f>
        <v>Abrir facsímil</v>
      </c>
      <c r="K3270" s="15" t="s">
        <v>23</v>
      </c>
    </row>
    <row r="3271" spans="1:11" ht="42" customHeight="1">
      <c r="A3271" s="4" t="s">
        <v>8211</v>
      </c>
      <c r="B3271" s="5" t="s">
        <v>8212</v>
      </c>
      <c r="C3271" s="5" t="s">
        <v>80</v>
      </c>
      <c r="D3271" s="5" t="s">
        <v>81</v>
      </c>
      <c r="E3271" s="5" t="s">
        <v>218</v>
      </c>
      <c r="F3271" s="9">
        <v>19</v>
      </c>
      <c r="G3271" s="9">
        <v>203</v>
      </c>
      <c r="H3271" s="5" t="s">
        <v>21</v>
      </c>
      <c r="I3271" s="5" t="s">
        <v>8213</v>
      </c>
      <c r="J3271" s="12" t="str">
        <f>HYPERLINK("https://www.boe.es/gazeta/dias/1803/03/08/pdfs/GMD-1803-19.pdf#page=11","Abrir facsímil")</f>
        <v>Abrir facsímil</v>
      </c>
      <c r="K3271" s="15" t="s">
        <v>23</v>
      </c>
    </row>
    <row r="3272" spans="1:11" ht="42" customHeight="1">
      <c r="A3272" s="4" t="s">
        <v>8214</v>
      </c>
      <c r="B3272" s="5" t="s">
        <v>8215</v>
      </c>
      <c r="C3272" s="5" t="s">
        <v>26</v>
      </c>
      <c r="D3272" s="5" t="s">
        <v>27</v>
      </c>
      <c r="E3272" s="5" t="s">
        <v>289</v>
      </c>
      <c r="F3272" s="9">
        <v>38</v>
      </c>
      <c r="G3272" s="9">
        <v>401</v>
      </c>
      <c r="H3272" s="5" t="s">
        <v>21</v>
      </c>
      <c r="I3272" s="5" t="s">
        <v>8216</v>
      </c>
      <c r="J3272" s="12" t="str">
        <f>HYPERLINK("https://www.boe.es/gazeta/dias/1803/05/13/pdfs/GMD-1803-38.pdf#page=9","Abrir facsímil")</f>
        <v>Abrir facsímil</v>
      </c>
      <c r="K3272" s="15" t="s">
        <v>23</v>
      </c>
    </row>
    <row r="3273" spans="1:11" ht="42" customHeight="1">
      <c r="A3273" s="4" t="s">
        <v>8217</v>
      </c>
      <c r="B3273" s="5" t="s">
        <v>8218</v>
      </c>
      <c r="C3273" s="5" t="s">
        <v>26</v>
      </c>
      <c r="D3273" s="5" t="s">
        <v>27</v>
      </c>
      <c r="E3273" s="5" t="s">
        <v>148</v>
      </c>
      <c r="F3273" s="9">
        <v>15</v>
      </c>
      <c r="G3273" s="9">
        <v>157</v>
      </c>
      <c r="H3273" s="5" t="s">
        <v>21</v>
      </c>
      <c r="I3273" s="5" t="s">
        <v>8219</v>
      </c>
      <c r="J3273" s="12" t="str">
        <f>HYPERLINK("https://www.boe.es/gazeta/dias/1803/02/22/pdfs/GMD-1803-15.pdf#page=9","Abrir facsímil")</f>
        <v>Abrir facsímil</v>
      </c>
      <c r="K3273" s="15" t="s">
        <v>23</v>
      </c>
    </row>
    <row r="3274" spans="1:11" ht="42" customHeight="1">
      <c r="A3274" s="4" t="s">
        <v>8220</v>
      </c>
      <c r="B3274" s="5" t="s">
        <v>8221</v>
      </c>
      <c r="C3274" s="5" t="s">
        <v>18</v>
      </c>
      <c r="D3274" s="5" t="s">
        <v>19</v>
      </c>
      <c r="E3274" s="5" t="s">
        <v>174</v>
      </c>
      <c r="F3274" s="9">
        <v>21</v>
      </c>
      <c r="G3274" s="9">
        <v>223</v>
      </c>
      <c r="H3274" s="5" t="s">
        <v>21</v>
      </c>
      <c r="I3274" s="5" t="s">
        <v>8222</v>
      </c>
      <c r="J3274" s="12" t="str">
        <f>HYPERLINK("https://www.boe.es/gazeta/dias/1803/03/15/pdfs/GMD-1803-21.pdf#page=7","Abrir facsímil")</f>
        <v>Abrir facsímil</v>
      </c>
      <c r="K3274" s="15" t="s">
        <v>23</v>
      </c>
    </row>
    <row r="3275" spans="1:11" ht="42" customHeight="1">
      <c r="A3275" s="4" t="s">
        <v>8223</v>
      </c>
      <c r="B3275" s="5" t="s">
        <v>8224</v>
      </c>
      <c r="C3275" s="5" t="s">
        <v>46</v>
      </c>
      <c r="D3275" s="5" t="s">
        <v>19</v>
      </c>
      <c r="E3275" s="5" t="s">
        <v>68</v>
      </c>
      <c r="F3275" s="9">
        <v>23</v>
      </c>
      <c r="G3275" s="9">
        <v>247</v>
      </c>
      <c r="H3275" s="5" t="s">
        <v>21</v>
      </c>
      <c r="I3275" s="5" t="s">
        <v>8225</v>
      </c>
      <c r="J3275" s="12" t="str">
        <f>HYPERLINK("https://www.boe.es/gazeta/dias/1803/03/22/pdfs/GMD-1803-23.pdf#page=7","Abrir facsímil")</f>
        <v>Abrir facsímil</v>
      </c>
      <c r="K3275" s="15" t="s">
        <v>23</v>
      </c>
    </row>
    <row r="3276" spans="1:11" ht="42" customHeight="1">
      <c r="A3276" s="4" t="s">
        <v>8223</v>
      </c>
      <c r="B3276" s="5" t="s">
        <v>8224</v>
      </c>
      <c r="C3276" s="5" t="s">
        <v>46</v>
      </c>
      <c r="D3276" s="5" t="s">
        <v>19</v>
      </c>
      <c r="E3276" s="5" t="s">
        <v>309</v>
      </c>
      <c r="F3276" s="9">
        <v>37</v>
      </c>
      <c r="G3276" s="9">
        <v>384</v>
      </c>
      <c r="H3276" s="5" t="s">
        <v>21</v>
      </c>
      <c r="I3276" s="5" t="s">
        <v>8226</v>
      </c>
      <c r="J3276" s="12" t="str">
        <f>HYPERLINK("https://www.boe.es/gazeta/dias/1803/05/10/pdfs/GMD-1803-37.pdf#page=8","Abrir facsímil")</f>
        <v>Abrir facsímil</v>
      </c>
      <c r="K3276" s="15" t="s">
        <v>23</v>
      </c>
    </row>
    <row r="3277" spans="1:11" ht="42" customHeight="1">
      <c r="A3277" s="4" t="s">
        <v>8223</v>
      </c>
      <c r="B3277" s="5" t="s">
        <v>8224</v>
      </c>
      <c r="C3277" s="5" t="s">
        <v>46</v>
      </c>
      <c r="D3277" s="5" t="s">
        <v>19</v>
      </c>
      <c r="E3277" s="5" t="s">
        <v>606</v>
      </c>
      <c r="F3277" s="9">
        <v>47</v>
      </c>
      <c r="G3277" s="9">
        <v>499</v>
      </c>
      <c r="H3277" s="5" t="s">
        <v>21</v>
      </c>
      <c r="I3277" s="5" t="s">
        <v>8227</v>
      </c>
      <c r="J3277" s="12" t="str">
        <f>HYPERLINK("https://www.boe.es/gazeta/dias/1803/06/14/pdfs/GMD-1803-47.pdf#page=11","Abrir facsímil")</f>
        <v>Abrir facsímil</v>
      </c>
      <c r="K3277" s="15" t="s">
        <v>23</v>
      </c>
    </row>
    <row r="3278" spans="1:11" ht="42" customHeight="1">
      <c r="A3278" s="4" t="s">
        <v>8223</v>
      </c>
      <c r="B3278" s="5" t="s">
        <v>8224</v>
      </c>
      <c r="C3278" s="5" t="s">
        <v>46</v>
      </c>
      <c r="D3278" s="5" t="s">
        <v>19</v>
      </c>
      <c r="E3278" s="5" t="s">
        <v>417</v>
      </c>
      <c r="F3278" s="9">
        <v>72</v>
      </c>
      <c r="G3278" s="9">
        <v>788</v>
      </c>
      <c r="H3278" s="5" t="s">
        <v>21</v>
      </c>
      <c r="I3278" s="5" t="s">
        <v>8228</v>
      </c>
      <c r="J3278" s="12" t="str">
        <f>HYPERLINK("https://www.boe.es/gazeta/dias/1803/09/09/pdfs/GMD-1803-72.pdf#page=8","Abrir facsímil")</f>
        <v>Abrir facsímil</v>
      </c>
      <c r="K3278" s="15" t="s">
        <v>23</v>
      </c>
    </row>
    <row r="3279" spans="1:11" ht="42" customHeight="1">
      <c r="A3279" s="4" t="s">
        <v>8229</v>
      </c>
      <c r="B3279" s="5" t="s">
        <v>8229</v>
      </c>
      <c r="C3279" s="5" t="s">
        <v>40</v>
      </c>
      <c r="D3279" s="5" t="s">
        <v>41</v>
      </c>
      <c r="E3279" s="5" t="s">
        <v>369</v>
      </c>
      <c r="F3279" s="9">
        <v>100</v>
      </c>
      <c r="G3279" s="9">
        <v>1068</v>
      </c>
      <c r="H3279" s="5" t="s">
        <v>21</v>
      </c>
      <c r="I3279" s="5" t="s">
        <v>8230</v>
      </c>
      <c r="J3279" s="12" t="str">
        <f>HYPERLINK("https://www.boe.es/gazeta/dias/1803/12/13/pdfs/GMD-1803-100.pdf#page=4","Abrir facsímil")</f>
        <v>Abrir facsímil</v>
      </c>
      <c r="K3279" s="15" t="s">
        <v>23</v>
      </c>
    </row>
    <row r="3280" spans="1:11" ht="42" customHeight="1">
      <c r="A3280" s="4" t="s">
        <v>8231</v>
      </c>
      <c r="B3280" s="5" t="s">
        <v>8232</v>
      </c>
      <c r="C3280" s="5" t="s">
        <v>26</v>
      </c>
      <c r="D3280" s="5" t="s">
        <v>27</v>
      </c>
      <c r="E3280" s="5" t="s">
        <v>480</v>
      </c>
      <c r="F3280" s="9">
        <v>87</v>
      </c>
      <c r="G3280" s="9">
        <v>935</v>
      </c>
      <c r="H3280" s="5" t="s">
        <v>21</v>
      </c>
      <c r="I3280" s="5" t="s">
        <v>8233</v>
      </c>
      <c r="J3280" s="12" t="str">
        <f>HYPERLINK("https://www.boe.es/gazeta/dias/1803/10/28/pdfs/GMD-1803-87.pdf#page=3","Abrir facsímil")</f>
        <v>Abrir facsímil</v>
      </c>
      <c r="K3280" s="15" t="s">
        <v>23</v>
      </c>
    </row>
    <row r="3281" spans="1:11" ht="42" customHeight="1">
      <c r="A3281" s="4" t="s">
        <v>8234</v>
      </c>
      <c r="B3281" s="5" t="s">
        <v>8234</v>
      </c>
      <c r="C3281" s="5" t="s">
        <v>18</v>
      </c>
      <c r="D3281" s="5" t="s">
        <v>19</v>
      </c>
      <c r="E3281" s="5" t="s">
        <v>178</v>
      </c>
      <c r="F3281" s="9">
        <v>36</v>
      </c>
      <c r="G3281" s="9">
        <v>373</v>
      </c>
      <c r="H3281" s="5" t="s">
        <v>21</v>
      </c>
      <c r="I3281" s="5" t="s">
        <v>8235</v>
      </c>
      <c r="J3281" s="12" t="str">
        <f>HYPERLINK("https://www.boe.es/gazeta/dias/1803/05/06/pdfs/GMD-1803-36.pdf#page=5","Abrir facsímil")</f>
        <v>Abrir facsímil</v>
      </c>
      <c r="K3281" s="15" t="s">
        <v>23</v>
      </c>
    </row>
    <row r="3282" spans="1:11" ht="42" customHeight="1">
      <c r="A3282" s="4" t="s">
        <v>8236</v>
      </c>
      <c r="B3282" s="5" t="s">
        <v>8236</v>
      </c>
      <c r="C3282" s="5" t="s">
        <v>40</v>
      </c>
      <c r="D3282" s="5" t="s">
        <v>41</v>
      </c>
      <c r="E3282" s="5" t="s">
        <v>211</v>
      </c>
      <c r="F3282" s="9">
        <v>71</v>
      </c>
      <c r="G3282" s="9">
        <v>775</v>
      </c>
      <c r="H3282" s="5" t="s">
        <v>21</v>
      </c>
      <c r="I3282" s="5" t="s">
        <v>8237</v>
      </c>
      <c r="J3282" s="12" t="str">
        <f>HYPERLINK("https://www.boe.es/gazeta/dias/1803/09/06/pdfs/GMD-1803-71.pdf#page=7","Abrir facsímil")</f>
        <v>Abrir facsímil</v>
      </c>
      <c r="K3282" s="15" t="s">
        <v>23</v>
      </c>
    </row>
    <row r="3283" spans="1:11" ht="42" customHeight="1">
      <c r="A3283" s="4" t="s">
        <v>8238</v>
      </c>
      <c r="B3283" s="5" t="s">
        <v>8239</v>
      </c>
      <c r="C3283" s="5" t="s">
        <v>51</v>
      </c>
      <c r="D3283" s="5" t="s">
        <v>52</v>
      </c>
      <c r="E3283" s="5" t="s">
        <v>340</v>
      </c>
      <c r="F3283" s="9">
        <v>55</v>
      </c>
      <c r="G3283" s="9">
        <v>598</v>
      </c>
      <c r="H3283" s="5" t="s">
        <v>21</v>
      </c>
      <c r="I3283" s="5" t="s">
        <v>8240</v>
      </c>
      <c r="J3283" s="12" t="str">
        <f>HYPERLINK("https://www.boe.es/gazeta/dias/1803/07/12/pdfs/GMD-1803-55.pdf#page=6","Abrir facsímil")</f>
        <v>Abrir facsímil</v>
      </c>
      <c r="K3283" s="15" t="s">
        <v>23</v>
      </c>
    </row>
    <row r="3284" spans="1:11" ht="42" customHeight="1">
      <c r="A3284" s="4" t="s">
        <v>8241</v>
      </c>
      <c r="B3284" s="5" t="s">
        <v>8241</v>
      </c>
      <c r="C3284" s="5" t="s">
        <v>40</v>
      </c>
      <c r="D3284" s="5" t="s">
        <v>41</v>
      </c>
      <c r="E3284" s="5" t="s">
        <v>332</v>
      </c>
      <c r="F3284" s="9">
        <v>11</v>
      </c>
      <c r="G3284" s="9">
        <v>108</v>
      </c>
      <c r="H3284" s="5" t="s">
        <v>21</v>
      </c>
      <c r="I3284" s="5" t="s">
        <v>8242</v>
      </c>
      <c r="J3284" s="12" t="str">
        <f>HYPERLINK("https://www.boe.es/gazeta/dias/1803/02/08/pdfs/GMD-1803-11.pdf#page=4","Abrir facsímil")</f>
        <v>Abrir facsímil</v>
      </c>
      <c r="K3284" s="15" t="s">
        <v>23</v>
      </c>
    </row>
    <row r="3285" spans="1:11" ht="42" customHeight="1">
      <c r="A3285" s="4" t="s">
        <v>8243</v>
      </c>
      <c r="B3285" s="5" t="s">
        <v>8244</v>
      </c>
      <c r="C3285" s="5" t="s">
        <v>46</v>
      </c>
      <c r="D3285" s="5" t="s">
        <v>19</v>
      </c>
      <c r="E3285" s="5" t="s">
        <v>395</v>
      </c>
      <c r="F3285" s="9">
        <v>13</v>
      </c>
      <c r="G3285" s="9">
        <v>136</v>
      </c>
      <c r="H3285" s="5" t="s">
        <v>21</v>
      </c>
      <c r="I3285" s="5" t="s">
        <v>8245</v>
      </c>
      <c r="J3285" s="12" t="str">
        <f>HYPERLINK("https://www.boe.es/gazeta/dias/1803/02/15/pdfs/GMD-1803-13.pdf#page=12","Abrir facsímil")</f>
        <v>Abrir facsímil</v>
      </c>
      <c r="K3285" s="15" t="s">
        <v>23</v>
      </c>
    </row>
    <row r="3286" spans="1:11" ht="42" customHeight="1">
      <c r="A3286" s="4" t="s">
        <v>8243</v>
      </c>
      <c r="B3286" s="5" t="s">
        <v>8244</v>
      </c>
      <c r="C3286" s="5" t="s">
        <v>46</v>
      </c>
      <c r="D3286" s="5" t="s">
        <v>19</v>
      </c>
      <c r="E3286" s="5" t="s">
        <v>174</v>
      </c>
      <c r="F3286" s="9">
        <v>21</v>
      </c>
      <c r="G3286" s="9">
        <v>227</v>
      </c>
      <c r="H3286" s="5" t="s">
        <v>21</v>
      </c>
      <c r="I3286" s="5" t="s">
        <v>8246</v>
      </c>
      <c r="J3286" s="12" t="str">
        <f>HYPERLINK("https://www.boe.es/gazeta/dias/1803/03/15/pdfs/GMD-1803-21.pdf#page=11","Abrir facsímil")</f>
        <v>Abrir facsímil</v>
      </c>
      <c r="K3286" s="15" t="s">
        <v>23</v>
      </c>
    </row>
    <row r="3287" spans="1:11" ht="42" customHeight="1">
      <c r="A3287" s="4" t="s">
        <v>8243</v>
      </c>
      <c r="B3287" s="5" t="s">
        <v>8244</v>
      </c>
      <c r="C3287" s="5" t="s">
        <v>46</v>
      </c>
      <c r="D3287" s="5" t="s">
        <v>19</v>
      </c>
      <c r="E3287" s="5" t="s">
        <v>272</v>
      </c>
      <c r="F3287" s="9">
        <v>25</v>
      </c>
      <c r="G3287" s="9">
        <v>267</v>
      </c>
      <c r="H3287" s="5" t="s">
        <v>21</v>
      </c>
      <c r="I3287" s="5" t="s">
        <v>8247</v>
      </c>
      <c r="J3287" s="12" t="str">
        <f>HYPERLINK("https://www.boe.es/gazeta/dias/1803/03/29/pdfs/GMD-1803-25.pdf#page=7","Abrir facsímil")</f>
        <v>Abrir facsímil</v>
      </c>
      <c r="K3287" s="15" t="s">
        <v>23</v>
      </c>
    </row>
    <row r="3288" spans="1:11" ht="42" customHeight="1">
      <c r="A3288" s="4" t="s">
        <v>8243</v>
      </c>
      <c r="B3288" s="5" t="s">
        <v>8244</v>
      </c>
      <c r="C3288" s="5" t="s">
        <v>80</v>
      </c>
      <c r="D3288" s="5" t="s">
        <v>81</v>
      </c>
      <c r="E3288" s="5" t="s">
        <v>231</v>
      </c>
      <c r="F3288" s="9">
        <v>26</v>
      </c>
      <c r="G3288" s="9">
        <v>283</v>
      </c>
      <c r="H3288" s="5" t="s">
        <v>21</v>
      </c>
      <c r="I3288" s="5" t="s">
        <v>8248</v>
      </c>
      <c r="J3288" s="12" t="str">
        <f>HYPERLINK("https://www.boe.es/gazeta/dias/1803/04/01/pdfs/GMD-1803-26.pdf#page=11","Abrir facsímil")</f>
        <v>Abrir facsímil</v>
      </c>
      <c r="K3288" s="15" t="s">
        <v>23</v>
      </c>
    </row>
    <row r="3289" spans="1:11" ht="42" customHeight="1">
      <c r="A3289" s="4" t="s">
        <v>8243</v>
      </c>
      <c r="B3289" s="5" t="s">
        <v>8244</v>
      </c>
      <c r="C3289" s="5" t="s">
        <v>46</v>
      </c>
      <c r="D3289" s="5" t="s">
        <v>19</v>
      </c>
      <c r="E3289" s="5" t="s">
        <v>83</v>
      </c>
      <c r="F3289" s="9">
        <v>28</v>
      </c>
      <c r="G3289" s="9">
        <v>304</v>
      </c>
      <c r="H3289" s="5" t="s">
        <v>21</v>
      </c>
      <c r="I3289" s="5" t="s">
        <v>8249</v>
      </c>
      <c r="J3289" s="12" t="str">
        <f>HYPERLINK("https://www.boe.es/gazeta/dias/1803/04/08/pdfs/GMD-1803-28.pdf#page=8","Abrir facsímil")</f>
        <v>Abrir facsímil</v>
      </c>
      <c r="K3289" s="15" t="s">
        <v>23</v>
      </c>
    </row>
    <row r="3290" spans="1:11" ht="42" customHeight="1">
      <c r="A3290" s="4" t="s">
        <v>8243</v>
      </c>
      <c r="B3290" s="5" t="s">
        <v>8244</v>
      </c>
      <c r="C3290" s="5" t="s">
        <v>46</v>
      </c>
      <c r="D3290" s="5" t="s">
        <v>19</v>
      </c>
      <c r="E3290" s="5" t="s">
        <v>191</v>
      </c>
      <c r="F3290" s="9">
        <v>34</v>
      </c>
      <c r="G3290" s="9">
        <v>360</v>
      </c>
      <c r="H3290" s="5" t="s">
        <v>21</v>
      </c>
      <c r="I3290" s="5" t="s">
        <v>8250</v>
      </c>
      <c r="J3290" s="12" t="str">
        <f>HYPERLINK("https://www.boe.es/gazeta/dias/1803/04/29/pdfs/GMD-1803-34.pdf#page=8","Abrir facsímil")</f>
        <v>Abrir facsímil</v>
      </c>
      <c r="K3290" s="15" t="s">
        <v>23</v>
      </c>
    </row>
    <row r="3291" spans="1:11" ht="42" customHeight="1">
      <c r="A3291" s="4" t="s">
        <v>8243</v>
      </c>
      <c r="B3291" s="5" t="s">
        <v>8244</v>
      </c>
      <c r="C3291" s="5" t="s">
        <v>46</v>
      </c>
      <c r="D3291" s="5" t="s">
        <v>19</v>
      </c>
      <c r="E3291" s="5" t="s">
        <v>289</v>
      </c>
      <c r="F3291" s="9">
        <v>38</v>
      </c>
      <c r="G3291" s="9">
        <v>403</v>
      </c>
      <c r="H3291" s="5" t="s">
        <v>21</v>
      </c>
      <c r="I3291" s="5" t="s">
        <v>8251</v>
      </c>
      <c r="J3291" s="12" t="str">
        <f>HYPERLINK("https://www.boe.es/gazeta/dias/1803/05/13/pdfs/GMD-1803-38.pdf#page=11","Abrir facsímil")</f>
        <v>Abrir facsímil</v>
      </c>
      <c r="K3291" s="15" t="s">
        <v>23</v>
      </c>
    </row>
    <row r="3292" spans="1:11" ht="42" customHeight="1">
      <c r="A3292" s="4" t="s">
        <v>8243</v>
      </c>
      <c r="B3292" s="5" t="s">
        <v>8244</v>
      </c>
      <c r="C3292" s="5" t="s">
        <v>80</v>
      </c>
      <c r="D3292" s="5" t="s">
        <v>81</v>
      </c>
      <c r="E3292" s="5" t="s">
        <v>389</v>
      </c>
      <c r="F3292" s="9">
        <v>41</v>
      </c>
      <c r="G3292" s="9">
        <v>431</v>
      </c>
      <c r="H3292" s="5" t="s">
        <v>21</v>
      </c>
      <c r="I3292" s="5" t="s">
        <v>8252</v>
      </c>
      <c r="J3292" s="12" t="str">
        <f>HYPERLINK("https://www.boe.es/gazeta/dias/1803/05/24/pdfs/GMD-1803-41.pdf#page=7","Abrir facsímil")</f>
        <v>Abrir facsímil</v>
      </c>
      <c r="K3292" s="15" t="s">
        <v>23</v>
      </c>
    </row>
    <row r="3293" spans="1:11" ht="42" customHeight="1">
      <c r="A3293" s="4" t="s">
        <v>8253</v>
      </c>
      <c r="B3293" s="5" t="s">
        <v>8254</v>
      </c>
      <c r="C3293" s="5" t="s">
        <v>18</v>
      </c>
      <c r="D3293" s="5" t="s">
        <v>19</v>
      </c>
      <c r="E3293" s="5" t="s">
        <v>477</v>
      </c>
      <c r="F3293" s="9">
        <v>48</v>
      </c>
      <c r="G3293" s="9">
        <v>512</v>
      </c>
      <c r="H3293" s="5" t="s">
        <v>21</v>
      </c>
      <c r="I3293" s="5" t="s">
        <v>8255</v>
      </c>
      <c r="J3293" s="12" t="str">
        <f>HYPERLINK("https://www.boe.es/gazeta/dias/1803/06/17/pdfs/GMD-1803-48.pdf#page=12","Abrir facsímil")</f>
        <v>Abrir facsímil</v>
      </c>
      <c r="K3293" s="15" t="s">
        <v>23</v>
      </c>
    </row>
    <row r="3294" spans="1:11" ht="42" customHeight="1">
      <c r="A3294" s="4" t="s">
        <v>8256</v>
      </c>
      <c r="B3294" s="5" t="s">
        <v>8257</v>
      </c>
      <c r="C3294" s="5" t="s">
        <v>51</v>
      </c>
      <c r="D3294" s="5" t="s">
        <v>52</v>
      </c>
      <c r="E3294" s="5" t="s">
        <v>71</v>
      </c>
      <c r="F3294" s="9">
        <v>39</v>
      </c>
      <c r="G3294" s="9">
        <v>410</v>
      </c>
      <c r="H3294" s="5" t="s">
        <v>21</v>
      </c>
      <c r="I3294" s="5" t="s">
        <v>8258</v>
      </c>
      <c r="J3294" s="12" t="str">
        <f>HYPERLINK("https://www.boe.es/gazeta/dias/1803/05/17/pdfs/GMD-1803-39.pdf#page=6","Abrir facsímil")</f>
        <v>Abrir facsímil</v>
      </c>
      <c r="K3294" s="15" t="s">
        <v>23</v>
      </c>
    </row>
    <row r="3295" spans="1:11" ht="42" customHeight="1">
      <c r="A3295" s="4" t="s">
        <v>8259</v>
      </c>
      <c r="B3295" s="5" t="s">
        <v>8260</v>
      </c>
      <c r="C3295" s="5" t="s">
        <v>26</v>
      </c>
      <c r="D3295" s="5" t="s">
        <v>27</v>
      </c>
      <c r="E3295" s="5" t="s">
        <v>910</v>
      </c>
      <c r="F3295" s="9">
        <v>66</v>
      </c>
      <c r="G3295" s="9">
        <v>719</v>
      </c>
      <c r="H3295" s="5" t="s">
        <v>21</v>
      </c>
      <c r="I3295" s="5" t="s">
        <v>8261</v>
      </c>
      <c r="J3295" s="12" t="str">
        <f>HYPERLINK("https://www.boe.es/gazeta/dias/1803/08/19/pdfs/GMD-1803-66.pdf#page=7","Abrir facsímil")</f>
        <v>Abrir facsímil</v>
      </c>
      <c r="K3295" s="15" t="s">
        <v>23</v>
      </c>
    </row>
    <row r="3296" spans="1:11" ht="42" customHeight="1">
      <c r="A3296" s="4" t="s">
        <v>8262</v>
      </c>
      <c r="B3296" s="5" t="s">
        <v>8263</v>
      </c>
      <c r="C3296" s="5" t="s">
        <v>18</v>
      </c>
      <c r="D3296" s="5" t="s">
        <v>19</v>
      </c>
      <c r="E3296" s="5" t="s">
        <v>250</v>
      </c>
      <c r="F3296" s="9">
        <v>4</v>
      </c>
      <c r="G3296" s="9">
        <v>35</v>
      </c>
      <c r="H3296" s="5" t="s">
        <v>21</v>
      </c>
      <c r="I3296" s="5" t="s">
        <v>8264</v>
      </c>
      <c r="J3296" s="12" t="str">
        <f>HYPERLINK("https://www.boe.es/gazeta/dias/1803/01/14/pdfs/GMD-1803-4.pdf#page=7","Abrir facsímil")</f>
        <v>Abrir facsímil</v>
      </c>
      <c r="K3296" s="15" t="s">
        <v>23</v>
      </c>
    </row>
    <row r="3297" spans="1:11" ht="42" customHeight="1">
      <c r="A3297" s="4" t="s">
        <v>8265</v>
      </c>
      <c r="B3297" s="5" t="s">
        <v>8266</v>
      </c>
      <c r="C3297" s="5" t="s">
        <v>26</v>
      </c>
      <c r="D3297" s="5" t="s">
        <v>27</v>
      </c>
      <c r="E3297" s="5" t="s">
        <v>1846</v>
      </c>
      <c r="F3297" s="9">
        <v>89</v>
      </c>
      <c r="G3297" s="9">
        <v>958</v>
      </c>
      <c r="H3297" s="5" t="s">
        <v>21</v>
      </c>
      <c r="I3297" s="5" t="s">
        <v>8267</v>
      </c>
      <c r="J3297" s="12" t="str">
        <f>HYPERLINK("https://www.boe.es/gazeta/dias/1803/11/04/pdfs/GMD-1803-89.pdf#page=6","Abrir facsímil")</f>
        <v>Abrir facsímil</v>
      </c>
      <c r="K3297" s="15" t="s">
        <v>23</v>
      </c>
    </row>
    <row r="3298" spans="1:11" ht="42" customHeight="1">
      <c r="A3298" s="4" t="s">
        <v>8268</v>
      </c>
      <c r="B3298" s="5" t="s">
        <v>8269</v>
      </c>
      <c r="C3298" s="5" t="s">
        <v>80</v>
      </c>
      <c r="D3298" s="5" t="s">
        <v>81</v>
      </c>
      <c r="E3298" s="5" t="s">
        <v>496</v>
      </c>
      <c r="F3298" s="9">
        <v>90</v>
      </c>
      <c r="G3298" s="9">
        <v>968</v>
      </c>
      <c r="H3298" s="5" t="s">
        <v>21</v>
      </c>
      <c r="I3298" s="5" t="s">
        <v>8270</v>
      </c>
      <c r="J3298" s="12" t="str">
        <f>HYPERLINK("https://www.boe.es/gazeta/dias/1803/11/08/pdfs/GMD-1803-90.pdf#page=8","Abrir facsímil")</f>
        <v>Abrir facsímil</v>
      </c>
      <c r="K3298" s="15" t="s">
        <v>23</v>
      </c>
    </row>
    <row r="3299" spans="1:11" ht="42" customHeight="1">
      <c r="A3299" s="4" t="s">
        <v>8271</v>
      </c>
      <c r="B3299" s="5" t="s">
        <v>8272</v>
      </c>
      <c r="C3299" s="5" t="s">
        <v>51</v>
      </c>
      <c r="D3299" s="5" t="s">
        <v>52</v>
      </c>
      <c r="E3299" s="5" t="s">
        <v>156</v>
      </c>
      <c r="F3299" s="9">
        <v>2</v>
      </c>
      <c r="G3299" s="9">
        <v>10</v>
      </c>
      <c r="H3299" s="5" t="s">
        <v>21</v>
      </c>
      <c r="I3299" s="5" t="s">
        <v>8273</v>
      </c>
      <c r="J3299" s="12" t="str">
        <f>HYPERLINK("https://www.boe.es/gazeta/dias/1803/01/07/pdfs/GMD-1803-2.pdf#page=2","Abrir facsímil")</f>
        <v>Abrir facsímil</v>
      </c>
      <c r="K3299" s="15" t="s">
        <v>23</v>
      </c>
    </row>
    <row r="3300" spans="1:11" ht="42" customHeight="1">
      <c r="A3300" s="4" t="s">
        <v>8271</v>
      </c>
      <c r="B3300" s="5" t="s">
        <v>8272</v>
      </c>
      <c r="C3300" s="5" t="s">
        <v>51</v>
      </c>
      <c r="D3300" s="5" t="s">
        <v>52</v>
      </c>
      <c r="E3300" s="5" t="s">
        <v>340</v>
      </c>
      <c r="F3300" s="9">
        <v>55</v>
      </c>
      <c r="G3300" s="9">
        <v>601</v>
      </c>
      <c r="H3300" s="5" t="s">
        <v>21</v>
      </c>
      <c r="I3300" s="5" t="s">
        <v>8274</v>
      </c>
      <c r="J3300" s="12" t="str">
        <f>HYPERLINK("https://www.boe.es/gazeta/dias/1803/07/12/pdfs/GMD-1803-55.pdf#page=9","Abrir facsímil")</f>
        <v>Abrir facsímil</v>
      </c>
      <c r="K3300" s="15" t="s">
        <v>23</v>
      </c>
    </row>
    <row r="3301" spans="1:11" ht="42" customHeight="1">
      <c r="A3301" s="4" t="s">
        <v>8275</v>
      </c>
      <c r="B3301" s="5" t="s">
        <v>8276</v>
      </c>
      <c r="C3301" s="5" t="s">
        <v>26</v>
      </c>
      <c r="D3301" s="5" t="s">
        <v>27</v>
      </c>
      <c r="E3301" s="5" t="s">
        <v>571</v>
      </c>
      <c r="F3301" s="9">
        <v>103</v>
      </c>
      <c r="G3301" s="9">
        <v>1103</v>
      </c>
      <c r="H3301" s="5" t="s">
        <v>21</v>
      </c>
      <c r="I3301" s="5" t="s">
        <v>8277</v>
      </c>
      <c r="J3301" s="12" t="str">
        <f>HYPERLINK("https://www.boe.es/gazeta/dias/1803/12/23/pdfs/GMD-1803-103.pdf#page=3","Abrir facsímil")</f>
        <v>Abrir facsímil</v>
      </c>
      <c r="K3301" s="15" t="s">
        <v>23</v>
      </c>
    </row>
    <row r="3302" spans="1:11" ht="42" customHeight="1">
      <c r="A3302" s="4" t="s">
        <v>8278</v>
      </c>
      <c r="B3302" s="5" t="s">
        <v>8279</v>
      </c>
      <c r="C3302" s="5" t="s">
        <v>18</v>
      </c>
      <c r="D3302" s="5" t="s">
        <v>19</v>
      </c>
      <c r="E3302" s="5" t="s">
        <v>967</v>
      </c>
      <c r="F3302" s="9">
        <v>35</v>
      </c>
      <c r="G3302" s="9">
        <v>367</v>
      </c>
      <c r="H3302" s="5" t="s">
        <v>21</v>
      </c>
      <c r="I3302" s="5" t="s">
        <v>8280</v>
      </c>
      <c r="J3302" s="12" t="str">
        <f>HYPERLINK("https://www.boe.es/gazeta/dias/1803/05/03/pdfs/GMD-1803-35.pdf#page=7","Abrir facsímil")</f>
        <v>Abrir facsímil</v>
      </c>
      <c r="K3302" s="15" t="s">
        <v>23</v>
      </c>
    </row>
    <row r="3303" spans="1:11" ht="42" customHeight="1">
      <c r="A3303" s="4" t="s">
        <v>8281</v>
      </c>
      <c r="B3303" s="5" t="s">
        <v>8282</v>
      </c>
      <c r="C3303" s="5" t="s">
        <v>26</v>
      </c>
      <c r="D3303" s="5" t="s">
        <v>27</v>
      </c>
      <c r="E3303" s="5" t="s">
        <v>250</v>
      </c>
      <c r="F3303" s="9">
        <v>4</v>
      </c>
      <c r="G3303" s="9">
        <v>35</v>
      </c>
      <c r="H3303" s="5" t="s">
        <v>21</v>
      </c>
      <c r="I3303" s="5" t="s">
        <v>8283</v>
      </c>
      <c r="J3303" s="12" t="str">
        <f>HYPERLINK("https://www.boe.es/gazeta/dias/1803/01/14/pdfs/GMD-1803-4.pdf#page=7","Abrir facsímil")</f>
        <v>Abrir facsímil</v>
      </c>
      <c r="K3303" s="15" t="s">
        <v>23</v>
      </c>
    </row>
    <row r="3304" spans="1:11" ht="42" customHeight="1">
      <c r="A3304" s="4" t="s">
        <v>8284</v>
      </c>
      <c r="B3304" s="5" t="s">
        <v>8285</v>
      </c>
      <c r="C3304" s="5" t="s">
        <v>51</v>
      </c>
      <c r="D3304" s="5" t="s">
        <v>52</v>
      </c>
      <c r="E3304" s="5" t="s">
        <v>303</v>
      </c>
      <c r="F3304" s="9">
        <v>8</v>
      </c>
      <c r="G3304" s="9">
        <v>79</v>
      </c>
      <c r="H3304" s="5" t="s">
        <v>21</v>
      </c>
      <c r="I3304" s="5" t="s">
        <v>8286</v>
      </c>
      <c r="J3304" s="12" t="str">
        <f>HYPERLINK("https://www.boe.es/gazeta/dias/1803/01/28/pdfs/GMD-1803-8.pdf#page=7","Abrir facsímil")</f>
        <v>Abrir facsímil</v>
      </c>
      <c r="K3304" s="15" t="s">
        <v>23</v>
      </c>
    </row>
    <row r="3305" spans="1:11" ht="42" customHeight="1">
      <c r="A3305" s="4" t="s">
        <v>8287</v>
      </c>
      <c r="B3305" s="5" t="s">
        <v>8288</v>
      </c>
      <c r="C3305" s="5" t="s">
        <v>40</v>
      </c>
      <c r="D3305" s="5" t="s">
        <v>41</v>
      </c>
      <c r="E3305" s="5" t="s">
        <v>619</v>
      </c>
      <c r="F3305" s="9">
        <v>53</v>
      </c>
      <c r="G3305" s="9">
        <v>575</v>
      </c>
      <c r="H3305" s="5" t="s">
        <v>21</v>
      </c>
      <c r="I3305" s="5" t="s">
        <v>8289</v>
      </c>
      <c r="J3305" s="12" t="str">
        <f>HYPERLINK("https://www.boe.es/gazeta/dias/1803/07/05/pdfs/GMD-1803-53.pdf#page=7","Abrir facsímil")</f>
        <v>Abrir facsímil</v>
      </c>
      <c r="K3305" s="15" t="s">
        <v>23</v>
      </c>
    </row>
    <row r="3306" spans="1:11" ht="42" customHeight="1">
      <c r="A3306" s="4" t="s">
        <v>8290</v>
      </c>
      <c r="B3306" s="5" t="s">
        <v>8290</v>
      </c>
      <c r="C3306" s="5" t="s">
        <v>26</v>
      </c>
      <c r="D3306" s="5" t="s">
        <v>27</v>
      </c>
      <c r="E3306" s="5" t="s">
        <v>71</v>
      </c>
      <c r="F3306" s="9">
        <v>39</v>
      </c>
      <c r="G3306" s="9">
        <v>414</v>
      </c>
      <c r="H3306" s="5" t="s">
        <v>21</v>
      </c>
      <c r="I3306" s="5" t="s">
        <v>8291</v>
      </c>
      <c r="J3306" s="12" t="str">
        <f>HYPERLINK("https://www.boe.es/gazeta/dias/1803/05/17/pdfs/GMD-1803-39.pdf#page=10","Abrir facsímil")</f>
        <v>Abrir facsímil</v>
      </c>
      <c r="K3306" s="15" t="s">
        <v>23</v>
      </c>
    </row>
    <row r="3307" spans="1:11" ht="42" customHeight="1">
      <c r="A3307" s="4" t="s">
        <v>8292</v>
      </c>
      <c r="B3307" s="5" t="s">
        <v>8292</v>
      </c>
      <c r="C3307" s="5" t="s">
        <v>51</v>
      </c>
      <c r="D3307" s="5" t="s">
        <v>52</v>
      </c>
      <c r="E3307" s="5" t="s">
        <v>83</v>
      </c>
      <c r="F3307" s="9">
        <v>28</v>
      </c>
      <c r="G3307" s="9">
        <v>302</v>
      </c>
      <c r="H3307" s="5" t="s">
        <v>21</v>
      </c>
      <c r="I3307" s="5" t="s">
        <v>8293</v>
      </c>
      <c r="J3307" s="12" t="str">
        <f>HYPERLINK("https://www.boe.es/gazeta/dias/1803/04/08/pdfs/GMD-1803-28.pdf#page=6","Abrir facsímil")</f>
        <v>Abrir facsímil</v>
      </c>
      <c r="K3307" s="15" t="s">
        <v>23</v>
      </c>
    </row>
    <row r="3308" spans="1:11" ht="42" customHeight="1">
      <c r="A3308" s="4" t="s">
        <v>8294</v>
      </c>
      <c r="B3308" s="5" t="s">
        <v>8294</v>
      </c>
      <c r="C3308" s="5" t="s">
        <v>26</v>
      </c>
      <c r="D3308" s="5" t="s">
        <v>27</v>
      </c>
      <c r="E3308" s="5" t="s">
        <v>93</v>
      </c>
      <c r="F3308" s="9">
        <v>43</v>
      </c>
      <c r="G3308" s="9">
        <v>449</v>
      </c>
      <c r="H3308" s="5" t="s">
        <v>21</v>
      </c>
      <c r="I3308" s="5" t="s">
        <v>8295</v>
      </c>
      <c r="J3308" s="12" t="str">
        <f>HYPERLINK("https://www.boe.es/gazeta/dias/1803/05/31/pdfs/GMD-1803-43.pdf#page=9","Abrir facsímil")</f>
        <v>Abrir facsímil</v>
      </c>
      <c r="K3308" s="15" t="s">
        <v>23</v>
      </c>
    </row>
    <row r="3309" spans="1:11" ht="42" customHeight="1">
      <c r="A3309" s="4" t="s">
        <v>8296</v>
      </c>
      <c r="B3309" s="5" t="s">
        <v>8297</v>
      </c>
      <c r="C3309" s="5" t="s">
        <v>26</v>
      </c>
      <c r="D3309" s="5" t="s">
        <v>27</v>
      </c>
      <c r="E3309" s="5" t="s">
        <v>313</v>
      </c>
      <c r="F3309" s="9">
        <v>14</v>
      </c>
      <c r="G3309" s="9">
        <v>143</v>
      </c>
      <c r="H3309" s="5" t="s">
        <v>21</v>
      </c>
      <c r="I3309" s="5" t="s">
        <v>8298</v>
      </c>
      <c r="J3309" s="12" t="str">
        <f>HYPERLINK("https://www.boe.es/gazeta/dias/1803/02/18/pdfs/GMD-1803-14.pdf#page=7","Abrir facsímil")</f>
        <v>Abrir facsímil</v>
      </c>
      <c r="K3309" s="15" t="s">
        <v>23</v>
      </c>
    </row>
    <row r="3310" spans="1:11" ht="42" customHeight="1">
      <c r="A3310" s="4" t="s">
        <v>8299</v>
      </c>
      <c r="B3310" s="5" t="s">
        <v>8300</v>
      </c>
      <c r="C3310" s="5" t="s">
        <v>26</v>
      </c>
      <c r="D3310" s="5" t="s">
        <v>27</v>
      </c>
      <c r="E3310" s="5" t="s">
        <v>132</v>
      </c>
      <c r="F3310" s="9">
        <v>58</v>
      </c>
      <c r="G3310" s="9">
        <v>638</v>
      </c>
      <c r="H3310" s="5" t="s">
        <v>21</v>
      </c>
      <c r="I3310" s="5" t="s">
        <v>8301</v>
      </c>
      <c r="J3310" s="12" t="str">
        <f>HYPERLINK("https://www.boe.es/gazeta/dias/1803/07/22/pdfs/GMD-1803-58.pdf#page=10","Abrir facsímil")</f>
        <v>Abrir facsímil</v>
      </c>
      <c r="K3310" s="15" t="s">
        <v>23</v>
      </c>
    </row>
    <row r="3311" spans="1:11" ht="42" customHeight="1">
      <c r="A3311" s="4" t="s">
        <v>8302</v>
      </c>
      <c r="B3311" s="5" t="s">
        <v>8303</v>
      </c>
      <c r="C3311" s="5" t="s">
        <v>80</v>
      </c>
      <c r="D3311" s="5" t="s">
        <v>81</v>
      </c>
      <c r="E3311" s="5" t="s">
        <v>328</v>
      </c>
      <c r="F3311" s="9">
        <v>54</v>
      </c>
      <c r="G3311" s="9">
        <v>592</v>
      </c>
      <c r="H3311" s="5" t="s">
        <v>21</v>
      </c>
      <c r="I3311" s="5" t="s">
        <v>8304</v>
      </c>
      <c r="J3311" s="12" t="str">
        <f>HYPERLINK("https://www.boe.es/gazeta/dias/1803/07/08/pdfs/GMD-1803-54.pdf#page=12","Abrir facsímil")</f>
        <v>Abrir facsímil</v>
      </c>
      <c r="K3311" s="15" t="s">
        <v>23</v>
      </c>
    </row>
    <row r="3312" spans="1:11" ht="42" customHeight="1">
      <c r="A3312" s="4" t="s">
        <v>8305</v>
      </c>
      <c r="B3312" s="5" t="s">
        <v>8306</v>
      </c>
      <c r="C3312" s="5" t="s">
        <v>26</v>
      </c>
      <c r="D3312" s="5" t="s">
        <v>27</v>
      </c>
      <c r="E3312" s="5" t="s">
        <v>571</v>
      </c>
      <c r="F3312" s="9">
        <v>103</v>
      </c>
      <c r="G3312" s="9">
        <v>1107</v>
      </c>
      <c r="H3312" s="5" t="s">
        <v>21</v>
      </c>
      <c r="I3312" s="5" t="s">
        <v>8307</v>
      </c>
      <c r="J3312" s="12" t="str">
        <f>HYPERLINK("https://www.boe.es/gazeta/dias/1803/12/23/pdfs/GMD-1803-103.pdf#page=7","Abrir facsímil")</f>
        <v>Abrir facsímil</v>
      </c>
      <c r="K3312" s="15" t="s">
        <v>23</v>
      </c>
    </row>
    <row r="3313" spans="1:11" ht="42" customHeight="1">
      <c r="A3313" s="4" t="s">
        <v>8308</v>
      </c>
      <c r="B3313" s="5" t="s">
        <v>8309</v>
      </c>
      <c r="C3313" s="5" t="s">
        <v>40</v>
      </c>
      <c r="D3313" s="5" t="s">
        <v>41</v>
      </c>
      <c r="E3313" s="5" t="s">
        <v>231</v>
      </c>
      <c r="F3313" s="9">
        <v>26</v>
      </c>
      <c r="G3313" s="9">
        <v>279</v>
      </c>
      <c r="H3313" s="5" t="s">
        <v>21</v>
      </c>
      <c r="I3313" s="5" t="s">
        <v>8310</v>
      </c>
      <c r="J3313" s="12" t="str">
        <f>HYPERLINK("https://www.boe.es/gazeta/dias/1803/04/01/pdfs/GMD-1803-26.pdf#page=7","Abrir facsímil")</f>
        <v>Abrir facsímil</v>
      </c>
      <c r="K3313" s="15" t="s">
        <v>23</v>
      </c>
    </row>
    <row r="3314" spans="1:11" ht="42" customHeight="1">
      <c r="A3314" s="4" t="s">
        <v>8311</v>
      </c>
      <c r="B3314" s="5" t="s">
        <v>8312</v>
      </c>
      <c r="C3314" s="5" t="s">
        <v>18</v>
      </c>
      <c r="D3314" s="5" t="s">
        <v>19</v>
      </c>
      <c r="E3314" s="5" t="s">
        <v>1915</v>
      </c>
      <c r="F3314" s="9">
        <v>44</v>
      </c>
      <c r="G3314" s="9">
        <v>459</v>
      </c>
      <c r="H3314" s="5" t="s">
        <v>21</v>
      </c>
      <c r="I3314" s="5" t="s">
        <v>8313</v>
      </c>
      <c r="J3314" s="12" t="str">
        <f>HYPERLINK("https://www.boe.es/gazeta/dias/1803/06/03/pdfs/GMD-1803-44.pdf#page=7","Abrir facsímil")</f>
        <v>Abrir facsímil</v>
      </c>
      <c r="K3314" s="15" t="s">
        <v>23</v>
      </c>
    </row>
    <row r="3315" spans="1:11" ht="42" customHeight="1">
      <c r="A3315" s="4" t="s">
        <v>8314</v>
      </c>
      <c r="B3315" s="5" t="s">
        <v>8315</v>
      </c>
      <c r="C3315" s="5" t="s">
        <v>18</v>
      </c>
      <c r="D3315" s="5" t="s">
        <v>19</v>
      </c>
      <c r="E3315" s="5" t="s">
        <v>910</v>
      </c>
      <c r="F3315" s="9">
        <v>66</v>
      </c>
      <c r="G3315" s="9">
        <v>720</v>
      </c>
      <c r="H3315" s="5" t="s">
        <v>21</v>
      </c>
      <c r="I3315" s="5" t="s">
        <v>8316</v>
      </c>
      <c r="J3315" s="12" t="str">
        <f>HYPERLINK("https://www.boe.es/gazeta/dias/1803/08/19/pdfs/GMD-1803-66.pdf#page=8","Abrir facsímil")</f>
        <v>Abrir facsímil</v>
      </c>
      <c r="K3315" s="15" t="s">
        <v>23</v>
      </c>
    </row>
    <row r="3316" spans="1:11" ht="42" customHeight="1">
      <c r="A3316" s="4" t="s">
        <v>8317</v>
      </c>
      <c r="B3316" s="5" t="s">
        <v>8318</v>
      </c>
      <c r="C3316" s="5" t="s">
        <v>26</v>
      </c>
      <c r="D3316" s="5" t="s">
        <v>27</v>
      </c>
      <c r="E3316" s="5" t="s">
        <v>514</v>
      </c>
      <c r="F3316" s="9">
        <v>42</v>
      </c>
      <c r="G3316" s="9">
        <v>439</v>
      </c>
      <c r="H3316" s="5" t="s">
        <v>21</v>
      </c>
      <c r="I3316" s="5" t="s">
        <v>8319</v>
      </c>
      <c r="J3316" s="12" t="str">
        <f>HYPERLINK("https://www.boe.es/gazeta/dias/1803/05/27/pdfs/GMD-1803-42.pdf#page=7","Abrir facsímil")</f>
        <v>Abrir facsímil</v>
      </c>
      <c r="K3316" s="15" t="s">
        <v>23</v>
      </c>
    </row>
    <row r="3317" spans="1:11" ht="42" customHeight="1">
      <c r="A3317" s="4" t="s">
        <v>8317</v>
      </c>
      <c r="B3317" s="5" t="s">
        <v>8318</v>
      </c>
      <c r="C3317" s="5" t="s">
        <v>26</v>
      </c>
      <c r="D3317" s="5" t="s">
        <v>27</v>
      </c>
      <c r="E3317" s="5" t="s">
        <v>199</v>
      </c>
      <c r="F3317" s="9">
        <v>88</v>
      </c>
      <c r="G3317" s="9">
        <v>947</v>
      </c>
      <c r="H3317" s="5" t="s">
        <v>21</v>
      </c>
      <c r="I3317" s="5" t="s">
        <v>8320</v>
      </c>
      <c r="J3317" s="12" t="str">
        <f>HYPERLINK("https://www.boe.es/gazeta/dias/1803/11/01/pdfs/GMD-1803-88.pdf#page=7","Abrir facsímil")</f>
        <v>Abrir facsímil</v>
      </c>
      <c r="K3317" s="15" t="s">
        <v>23</v>
      </c>
    </row>
    <row r="3318" spans="1:11" ht="42" customHeight="1">
      <c r="A3318" s="4" t="s">
        <v>8321</v>
      </c>
      <c r="B3318" s="5" t="s">
        <v>8322</v>
      </c>
      <c r="C3318" s="5" t="s">
        <v>46</v>
      </c>
      <c r="D3318" s="5" t="s">
        <v>19</v>
      </c>
      <c r="E3318" s="5" t="s">
        <v>555</v>
      </c>
      <c r="F3318" s="9">
        <v>83</v>
      </c>
      <c r="G3318" s="9">
        <v>895</v>
      </c>
      <c r="H3318" s="5" t="s">
        <v>21</v>
      </c>
      <c r="I3318" s="5" t="s">
        <v>8323</v>
      </c>
      <c r="J3318" s="12" t="str">
        <f>HYPERLINK("https://www.boe.es/gazeta/dias/1803/10/14/pdfs/GMD-1803-83.pdf#page=7","Abrir facsímil")</f>
        <v>Abrir facsímil</v>
      </c>
      <c r="K3318" s="15" t="s">
        <v>23</v>
      </c>
    </row>
    <row r="3319" spans="1:11" ht="42" customHeight="1">
      <c r="A3319" s="4" t="s">
        <v>8324</v>
      </c>
      <c r="B3319" s="5" t="s">
        <v>8325</v>
      </c>
      <c r="C3319" s="5" t="s">
        <v>26</v>
      </c>
      <c r="D3319" s="5" t="s">
        <v>27</v>
      </c>
      <c r="E3319" s="5" t="s">
        <v>160</v>
      </c>
      <c r="F3319" s="9">
        <v>81</v>
      </c>
      <c r="G3319" s="9">
        <v>872</v>
      </c>
      <c r="H3319" s="5" t="s">
        <v>21</v>
      </c>
      <c r="I3319" s="5" t="s">
        <v>8326</v>
      </c>
      <c r="J3319" s="12" t="str">
        <f>HYPERLINK("https://www.boe.es/gazeta/dias/1803/10/07/pdfs/GMD-1803-81.pdf#page=8","Abrir facsímil")</f>
        <v>Abrir facsímil</v>
      </c>
      <c r="K3319" s="15" t="s">
        <v>23</v>
      </c>
    </row>
    <row r="3320" spans="1:11" ht="42" customHeight="1">
      <c r="A3320" s="4" t="s">
        <v>8324</v>
      </c>
      <c r="B3320" s="5" t="s">
        <v>8325</v>
      </c>
      <c r="C3320" s="5" t="s">
        <v>18</v>
      </c>
      <c r="D3320" s="5" t="s">
        <v>19</v>
      </c>
      <c r="E3320" s="5" t="s">
        <v>784</v>
      </c>
      <c r="F3320" s="9">
        <v>86</v>
      </c>
      <c r="G3320" s="9">
        <v>929</v>
      </c>
      <c r="H3320" s="5" t="s">
        <v>21</v>
      </c>
      <c r="I3320" s="5" t="s">
        <v>8327</v>
      </c>
      <c r="J3320" s="12" t="str">
        <f>HYPERLINK("https://www.boe.es/gazeta/dias/1803/10/25/pdfs/GMD-1803-86.pdf#page=9","Abrir facsímil")</f>
        <v>Abrir facsímil</v>
      </c>
      <c r="K3320" s="15" t="s">
        <v>23</v>
      </c>
    </row>
    <row r="3321" spans="1:11" ht="42" customHeight="1">
      <c r="A3321" s="4" t="s">
        <v>8328</v>
      </c>
      <c r="B3321" s="5" t="s">
        <v>8329</v>
      </c>
      <c r="C3321" s="5" t="s">
        <v>18</v>
      </c>
      <c r="D3321" s="5" t="s">
        <v>19</v>
      </c>
      <c r="E3321" s="5" t="s">
        <v>395</v>
      </c>
      <c r="F3321" s="9">
        <v>13</v>
      </c>
      <c r="G3321" s="9">
        <v>135</v>
      </c>
      <c r="H3321" s="5" t="s">
        <v>21</v>
      </c>
      <c r="I3321" s="5" t="s">
        <v>8330</v>
      </c>
      <c r="J3321" s="12" t="str">
        <f>HYPERLINK("https://www.boe.es/gazeta/dias/1803/02/15/pdfs/GMD-1803-13.pdf#page=11","Abrir facsímil")</f>
        <v>Abrir facsímil</v>
      </c>
      <c r="K3321" s="15" t="s">
        <v>23</v>
      </c>
    </row>
    <row r="3322" spans="1:11" ht="42" customHeight="1">
      <c r="A3322" s="4" t="s">
        <v>8328</v>
      </c>
      <c r="B3322" s="5" t="s">
        <v>8329</v>
      </c>
      <c r="C3322" s="5" t="s">
        <v>26</v>
      </c>
      <c r="D3322" s="5" t="s">
        <v>27</v>
      </c>
      <c r="E3322" s="5" t="s">
        <v>71</v>
      </c>
      <c r="F3322" s="9">
        <v>39</v>
      </c>
      <c r="G3322" s="9">
        <v>415</v>
      </c>
      <c r="H3322" s="5" t="s">
        <v>21</v>
      </c>
      <c r="I3322" s="5" t="s">
        <v>8331</v>
      </c>
      <c r="J3322" s="12" t="str">
        <f>HYPERLINK("https://www.boe.es/gazeta/dias/1803/05/17/pdfs/GMD-1803-39.pdf#page=11","Abrir facsímil")</f>
        <v>Abrir facsímil</v>
      </c>
      <c r="K3322" s="15" t="s">
        <v>23</v>
      </c>
    </row>
    <row r="3323" spans="1:11" ht="42" customHeight="1">
      <c r="A3323" s="4" t="s">
        <v>8328</v>
      </c>
      <c r="B3323" s="5" t="s">
        <v>8329</v>
      </c>
      <c r="C3323" s="5" t="s">
        <v>26</v>
      </c>
      <c r="D3323" s="5" t="s">
        <v>27</v>
      </c>
      <c r="E3323" s="5" t="s">
        <v>138</v>
      </c>
      <c r="F3323" s="9">
        <v>68</v>
      </c>
      <c r="G3323" s="9">
        <v>743</v>
      </c>
      <c r="H3323" s="5" t="s">
        <v>21</v>
      </c>
      <c r="I3323" s="5" t="s">
        <v>8332</v>
      </c>
      <c r="J3323" s="12" t="str">
        <f>HYPERLINK("https://www.boe.es/gazeta/dias/1803/08/26/pdfs/GMD-1803-68.pdf#page=11","Abrir facsímil")</f>
        <v>Abrir facsímil</v>
      </c>
      <c r="K3323" s="15" t="s">
        <v>23</v>
      </c>
    </row>
    <row r="3324" spans="1:11" ht="42" customHeight="1">
      <c r="A3324" s="4" t="s">
        <v>8328</v>
      </c>
      <c r="B3324" s="5" t="s">
        <v>8329</v>
      </c>
      <c r="C3324" s="5" t="s">
        <v>80</v>
      </c>
      <c r="D3324" s="5" t="s">
        <v>81</v>
      </c>
      <c r="E3324" s="5" t="s">
        <v>261</v>
      </c>
      <c r="F3324" s="9">
        <v>70</v>
      </c>
      <c r="G3324" s="9">
        <v>767</v>
      </c>
      <c r="H3324" s="5" t="s">
        <v>21</v>
      </c>
      <c r="I3324" s="5" t="s">
        <v>8333</v>
      </c>
      <c r="J3324" s="12" t="str">
        <f>HYPERLINK("https://www.boe.es/gazeta/dias/1803/09/02/pdfs/GMD-1803-70.pdf#page=7","Abrir facsímil")</f>
        <v>Abrir facsímil</v>
      </c>
      <c r="K3324" s="15" t="s">
        <v>23</v>
      </c>
    </row>
    <row r="3325" spans="1:11" ht="42" customHeight="1">
      <c r="A3325" s="4" t="s">
        <v>8328</v>
      </c>
      <c r="B3325" s="5" t="s">
        <v>8329</v>
      </c>
      <c r="C3325" s="5" t="s">
        <v>80</v>
      </c>
      <c r="D3325" s="5" t="s">
        <v>81</v>
      </c>
      <c r="E3325" s="5" t="s">
        <v>32</v>
      </c>
      <c r="F3325" s="9">
        <v>74</v>
      </c>
      <c r="G3325" s="9">
        <v>803</v>
      </c>
      <c r="H3325" s="5" t="s">
        <v>21</v>
      </c>
      <c r="I3325" s="5" t="s">
        <v>8334</v>
      </c>
      <c r="J3325" s="12" t="str">
        <f>HYPERLINK("https://www.boe.es/gazeta/dias/1803/09/13/pdfs/GMD-1803-74.pdf#page=7","Abrir facsímil")</f>
        <v>Abrir facsímil</v>
      </c>
      <c r="K3325" s="15" t="s">
        <v>23</v>
      </c>
    </row>
    <row r="3326" spans="1:11" ht="42" customHeight="1">
      <c r="A3326" s="4" t="s">
        <v>8328</v>
      </c>
      <c r="B3326" s="5" t="s">
        <v>8329</v>
      </c>
      <c r="C3326" s="5" t="s">
        <v>80</v>
      </c>
      <c r="D3326" s="5" t="s">
        <v>81</v>
      </c>
      <c r="E3326" s="5" t="s">
        <v>373</v>
      </c>
      <c r="F3326" s="9">
        <v>77</v>
      </c>
      <c r="G3326" s="9">
        <v>835</v>
      </c>
      <c r="H3326" s="5" t="s">
        <v>21</v>
      </c>
      <c r="I3326" s="5" t="s">
        <v>8335</v>
      </c>
      <c r="J3326" s="12" t="str">
        <f>HYPERLINK("https://www.boe.es/gazeta/dias/1803/09/23/pdfs/GMD-1803-77.pdf#page=11","Abrir facsímil")</f>
        <v>Abrir facsímil</v>
      </c>
      <c r="K3326" s="15" t="s">
        <v>23</v>
      </c>
    </row>
    <row r="3327" spans="1:11" ht="42" customHeight="1">
      <c r="A3327" s="4" t="s">
        <v>8328</v>
      </c>
      <c r="B3327" s="5" t="s">
        <v>8329</v>
      </c>
      <c r="C3327" s="5" t="s">
        <v>80</v>
      </c>
      <c r="D3327" s="5" t="s">
        <v>81</v>
      </c>
      <c r="E3327" s="5" t="s">
        <v>36</v>
      </c>
      <c r="F3327" s="9">
        <v>79</v>
      </c>
      <c r="G3327" s="9">
        <v>855</v>
      </c>
      <c r="H3327" s="5" t="s">
        <v>21</v>
      </c>
      <c r="I3327" s="5" t="s">
        <v>8336</v>
      </c>
      <c r="J3327" s="12" t="str">
        <f>HYPERLINK("https://www.boe.es/gazeta/dias/1803/09/30/pdfs/GMD-1803-79.pdf#page=7","Abrir facsímil")</f>
        <v>Abrir facsímil</v>
      </c>
      <c r="K3327" s="15" t="s">
        <v>23</v>
      </c>
    </row>
    <row r="3328" spans="1:11" ht="42" customHeight="1">
      <c r="A3328" s="4" t="s">
        <v>8328</v>
      </c>
      <c r="B3328" s="5" t="s">
        <v>8329</v>
      </c>
      <c r="C3328" s="5" t="s">
        <v>80</v>
      </c>
      <c r="D3328" s="5" t="s">
        <v>81</v>
      </c>
      <c r="E3328" s="5" t="s">
        <v>160</v>
      </c>
      <c r="F3328" s="9">
        <v>81</v>
      </c>
      <c r="G3328" s="9">
        <v>874</v>
      </c>
      <c r="H3328" s="5" t="s">
        <v>21</v>
      </c>
      <c r="I3328" s="5" t="s">
        <v>8337</v>
      </c>
      <c r="J3328" s="12" t="str">
        <f>HYPERLINK("https://www.boe.es/gazeta/dias/1803/10/07/pdfs/GMD-1803-81.pdf#page=10","Abrir facsímil")</f>
        <v>Abrir facsímil</v>
      </c>
      <c r="K3328" s="15" t="s">
        <v>23</v>
      </c>
    </row>
    <row r="3329" spans="1:11" ht="42" customHeight="1">
      <c r="A3329" s="4" t="s">
        <v>8328</v>
      </c>
      <c r="B3329" s="5" t="s">
        <v>8329</v>
      </c>
      <c r="C3329" s="5" t="s">
        <v>80</v>
      </c>
      <c r="D3329" s="5" t="s">
        <v>81</v>
      </c>
      <c r="E3329" s="5" t="s">
        <v>164</v>
      </c>
      <c r="F3329" s="9">
        <v>84</v>
      </c>
      <c r="G3329" s="9">
        <v>903</v>
      </c>
      <c r="H3329" s="5" t="s">
        <v>21</v>
      </c>
      <c r="I3329" s="5" t="s">
        <v>8338</v>
      </c>
      <c r="J3329" s="12" t="str">
        <f>HYPERLINK("https://www.boe.es/gazeta/dias/1803/10/18/pdfs/GMD-1803-84.pdf#page=7","Abrir facsímil")</f>
        <v>Abrir facsímil</v>
      </c>
      <c r="K3329" s="15" t="s">
        <v>23</v>
      </c>
    </row>
    <row r="3330" spans="1:11" ht="42" customHeight="1">
      <c r="A3330" s="4" t="s">
        <v>8328</v>
      </c>
      <c r="B3330" s="5" t="s">
        <v>8329</v>
      </c>
      <c r="C3330" s="5" t="s">
        <v>26</v>
      </c>
      <c r="D3330" s="5" t="s">
        <v>27</v>
      </c>
      <c r="E3330" s="5" t="s">
        <v>480</v>
      </c>
      <c r="F3330" s="9">
        <v>87</v>
      </c>
      <c r="G3330" s="9">
        <v>939</v>
      </c>
      <c r="H3330" s="5" t="s">
        <v>21</v>
      </c>
      <c r="I3330" s="5" t="s">
        <v>8339</v>
      </c>
      <c r="J3330" s="12" t="str">
        <f>HYPERLINK("https://www.boe.es/gazeta/dias/1803/10/28/pdfs/GMD-1803-87.pdf#page=7","Abrir facsímil")</f>
        <v>Abrir facsímil</v>
      </c>
      <c r="K3330" s="15" t="s">
        <v>23</v>
      </c>
    </row>
    <row r="3331" spans="1:11" ht="42" customHeight="1">
      <c r="A3331" s="4" t="s">
        <v>8328</v>
      </c>
      <c r="B3331" s="5" t="s">
        <v>8329</v>
      </c>
      <c r="C3331" s="5" t="s">
        <v>80</v>
      </c>
      <c r="D3331" s="5" t="s">
        <v>81</v>
      </c>
      <c r="E3331" s="5" t="s">
        <v>496</v>
      </c>
      <c r="F3331" s="9">
        <v>90</v>
      </c>
      <c r="G3331" s="9">
        <v>967</v>
      </c>
      <c r="H3331" s="5" t="s">
        <v>21</v>
      </c>
      <c r="I3331" s="5" t="s">
        <v>8340</v>
      </c>
      <c r="J3331" s="12" t="str">
        <f>HYPERLINK("https://www.boe.es/gazeta/dias/1803/11/08/pdfs/GMD-1803-90.pdf#page=7","Abrir facsímil")</f>
        <v>Abrir facsímil</v>
      </c>
      <c r="K3331" s="15" t="s">
        <v>23</v>
      </c>
    </row>
    <row r="3332" spans="1:11" ht="42" customHeight="1">
      <c r="A3332" s="4" t="s">
        <v>8328</v>
      </c>
      <c r="B3332" s="5" t="s">
        <v>8329</v>
      </c>
      <c r="C3332" s="5" t="s">
        <v>80</v>
      </c>
      <c r="D3332" s="5" t="s">
        <v>81</v>
      </c>
      <c r="E3332" s="5" t="s">
        <v>300</v>
      </c>
      <c r="F3332" s="9">
        <v>96</v>
      </c>
      <c r="G3332" s="9">
        <v>1035</v>
      </c>
      <c r="H3332" s="5" t="s">
        <v>21</v>
      </c>
      <c r="I3332" s="5" t="s">
        <v>8341</v>
      </c>
      <c r="J3332" s="12" t="str">
        <f>HYPERLINK("https://www.boe.es/gazeta/dias/1803/11/29/pdfs/GMD-1803-96.pdf#page=11","Abrir facsímil")</f>
        <v>Abrir facsímil</v>
      </c>
      <c r="K3332" s="15" t="s">
        <v>23</v>
      </c>
    </row>
    <row r="3333" spans="1:11" ht="42" customHeight="1">
      <c r="A3333" s="4" t="s">
        <v>8342</v>
      </c>
      <c r="B3333" s="5" t="s">
        <v>8343</v>
      </c>
      <c r="C3333" s="5" t="s">
        <v>26</v>
      </c>
      <c r="D3333" s="5" t="s">
        <v>27</v>
      </c>
      <c r="E3333" s="5" t="s">
        <v>289</v>
      </c>
      <c r="F3333" s="9">
        <v>38</v>
      </c>
      <c r="G3333" s="9">
        <v>401</v>
      </c>
      <c r="H3333" s="5" t="s">
        <v>21</v>
      </c>
      <c r="I3333" s="5" t="s">
        <v>8344</v>
      </c>
      <c r="J3333" s="12" t="str">
        <f>HYPERLINK("https://www.boe.es/gazeta/dias/1803/05/13/pdfs/GMD-1803-38.pdf#page=9","Abrir facsímil")</f>
        <v>Abrir facsímil</v>
      </c>
      <c r="K3333" s="15" t="s">
        <v>23</v>
      </c>
    </row>
    <row r="3334" spans="1:11" ht="42" customHeight="1">
      <c r="A3334" s="4" t="s">
        <v>8345</v>
      </c>
      <c r="B3334" s="5" t="s">
        <v>8345</v>
      </c>
      <c r="C3334" s="5" t="s">
        <v>46</v>
      </c>
      <c r="D3334" s="5" t="s">
        <v>19</v>
      </c>
      <c r="E3334" s="5" t="s">
        <v>250</v>
      </c>
      <c r="F3334" s="9">
        <v>4</v>
      </c>
      <c r="G3334" s="9">
        <v>36</v>
      </c>
      <c r="H3334" s="5" t="s">
        <v>21</v>
      </c>
      <c r="I3334" s="5" t="s">
        <v>8346</v>
      </c>
      <c r="J3334" s="12" t="str">
        <f>HYPERLINK("https://www.boe.es/gazeta/dias/1803/01/14/pdfs/GMD-1803-4.pdf#page=8","Abrir facsímil")</f>
        <v>Abrir facsímil</v>
      </c>
      <c r="K3334" s="15" t="s">
        <v>23</v>
      </c>
    </row>
    <row r="3335" spans="1:11" ht="42" customHeight="1">
      <c r="A3335" s="4" t="s">
        <v>8347</v>
      </c>
      <c r="B3335" s="5" t="s">
        <v>8348</v>
      </c>
      <c r="C3335" s="5" t="s">
        <v>40</v>
      </c>
      <c r="D3335" s="5" t="s">
        <v>41</v>
      </c>
      <c r="E3335" s="5" t="s">
        <v>138</v>
      </c>
      <c r="F3335" s="9">
        <v>68</v>
      </c>
      <c r="G3335" s="9">
        <v>739</v>
      </c>
      <c r="H3335" s="5" t="s">
        <v>21</v>
      </c>
      <c r="I3335" s="5" t="s">
        <v>8349</v>
      </c>
      <c r="J3335" s="12" t="str">
        <f>HYPERLINK("https://www.boe.es/gazeta/dias/1803/08/26/pdfs/GMD-1803-68.pdf#page=7","Abrir facsímil")</f>
        <v>Abrir facsímil</v>
      </c>
      <c r="K3335" s="15" t="s">
        <v>23</v>
      </c>
    </row>
    <row r="3336" spans="1:11" ht="42" customHeight="1">
      <c r="A3336" s="4" t="s">
        <v>8347</v>
      </c>
      <c r="B3336" s="5" t="s">
        <v>8348</v>
      </c>
      <c r="C3336" s="5" t="s">
        <v>40</v>
      </c>
      <c r="D3336" s="5" t="s">
        <v>41</v>
      </c>
      <c r="E3336" s="5" t="s">
        <v>261</v>
      </c>
      <c r="F3336" s="9">
        <v>70</v>
      </c>
      <c r="G3336" s="9">
        <v>762</v>
      </c>
      <c r="H3336" s="5" t="s">
        <v>21</v>
      </c>
      <c r="I3336" s="5" t="s">
        <v>8350</v>
      </c>
      <c r="J3336" s="12" t="str">
        <f>HYPERLINK("https://www.boe.es/gazeta/dias/1803/09/02/pdfs/GMD-1803-70.pdf#page=2","Abrir facsímil")</f>
        <v>Abrir facsímil</v>
      </c>
      <c r="K3336" s="15" t="s">
        <v>23</v>
      </c>
    </row>
    <row r="3337" spans="1:11" ht="42" customHeight="1">
      <c r="A3337" s="4" t="s">
        <v>8347</v>
      </c>
      <c r="B3337" s="5" t="s">
        <v>8348</v>
      </c>
      <c r="C3337" s="5" t="s">
        <v>26</v>
      </c>
      <c r="D3337" s="5" t="s">
        <v>27</v>
      </c>
      <c r="E3337" s="5" t="s">
        <v>784</v>
      </c>
      <c r="F3337" s="9">
        <v>86</v>
      </c>
      <c r="G3337" s="9">
        <v>927</v>
      </c>
      <c r="H3337" s="5" t="s">
        <v>21</v>
      </c>
      <c r="I3337" s="5" t="s">
        <v>8351</v>
      </c>
      <c r="J3337" s="12" t="str">
        <f>HYPERLINK("https://www.boe.es/gazeta/dias/1803/10/25/pdfs/GMD-1803-86.pdf#page=7","Abrir facsímil")</f>
        <v>Abrir facsímil</v>
      </c>
      <c r="K3337" s="15" t="s">
        <v>23</v>
      </c>
    </row>
    <row r="3338" spans="1:11" ht="42" customHeight="1">
      <c r="A3338" s="4" t="s">
        <v>8347</v>
      </c>
      <c r="B3338" s="5" t="s">
        <v>8348</v>
      </c>
      <c r="C3338" s="5" t="s">
        <v>51</v>
      </c>
      <c r="D3338" s="5" t="s">
        <v>52</v>
      </c>
      <c r="E3338" s="5" t="s">
        <v>199</v>
      </c>
      <c r="F3338" s="9">
        <v>88</v>
      </c>
      <c r="G3338" s="9">
        <v>944</v>
      </c>
      <c r="H3338" s="5" t="s">
        <v>21</v>
      </c>
      <c r="I3338" s="5" t="s">
        <v>8352</v>
      </c>
      <c r="J3338" s="12" t="str">
        <f>HYPERLINK("https://www.boe.es/gazeta/dias/1803/11/01/pdfs/GMD-1803-88.pdf#page=4","Abrir facsímil")</f>
        <v>Abrir facsímil</v>
      </c>
      <c r="K3338" s="15" t="s">
        <v>23</v>
      </c>
    </row>
    <row r="3339" spans="1:11" ht="42" customHeight="1">
      <c r="A3339" s="4" t="s">
        <v>8347</v>
      </c>
      <c r="B3339" s="5" t="s">
        <v>8348</v>
      </c>
      <c r="C3339" s="5" t="s">
        <v>40</v>
      </c>
      <c r="D3339" s="5" t="s">
        <v>41</v>
      </c>
      <c r="E3339" s="5" t="s">
        <v>28</v>
      </c>
      <c r="F3339" s="9">
        <v>92</v>
      </c>
      <c r="G3339" s="9">
        <v>984</v>
      </c>
      <c r="H3339" s="5" t="s">
        <v>21</v>
      </c>
      <c r="I3339" s="5" t="s">
        <v>8353</v>
      </c>
      <c r="J3339" s="12" t="str">
        <f>HYPERLINK("https://www.boe.es/gazeta/dias/1803/11/15/pdfs/GMD-1803-92.pdf#page=4","Abrir facsímil")</f>
        <v>Abrir facsímil</v>
      </c>
      <c r="K3339" s="15" t="s">
        <v>23</v>
      </c>
    </row>
    <row r="3340" spans="1:11" ht="42" customHeight="1">
      <c r="A3340" s="4" t="s">
        <v>8347</v>
      </c>
      <c r="B3340" s="5" t="s">
        <v>8348</v>
      </c>
      <c r="C3340" s="5" t="s">
        <v>26</v>
      </c>
      <c r="D3340" s="5" t="s">
        <v>27</v>
      </c>
      <c r="E3340" s="5" t="s">
        <v>53</v>
      </c>
      <c r="F3340" s="9">
        <v>99</v>
      </c>
      <c r="G3340" s="9">
        <v>1054</v>
      </c>
      <c r="H3340" s="5" t="s">
        <v>21</v>
      </c>
      <c r="I3340" s="5" t="s">
        <v>8354</v>
      </c>
      <c r="J3340" s="12" t="str">
        <f>HYPERLINK("https://www.boe.es/gazeta/dias/1803/12/09/pdfs/GMD-1803-99.pdf#page=2","Abrir facsímil")</f>
        <v>Abrir facsímil</v>
      </c>
      <c r="K3340" s="15" t="s">
        <v>23</v>
      </c>
    </row>
    <row r="3341" spans="1:11" ht="42" customHeight="1">
      <c r="A3341" s="4" t="s">
        <v>8355</v>
      </c>
      <c r="B3341" s="5" t="s">
        <v>8356</v>
      </c>
      <c r="C3341" s="5" t="s">
        <v>26</v>
      </c>
      <c r="D3341" s="5" t="s">
        <v>27</v>
      </c>
      <c r="E3341" s="5" t="s">
        <v>189</v>
      </c>
      <c r="F3341" s="9">
        <v>9</v>
      </c>
      <c r="G3341" s="9">
        <v>87</v>
      </c>
      <c r="H3341" s="5" t="s">
        <v>21</v>
      </c>
      <c r="I3341" s="5" t="s">
        <v>8357</v>
      </c>
      <c r="J3341" s="12" t="str">
        <f>HYPERLINK("https://www.boe.es/gazeta/dias/1803/02/01/pdfs/GMD-1803-9.pdf#page=3","Abrir facsímil")</f>
        <v>Abrir facsímil</v>
      </c>
      <c r="K3341" s="15" t="s">
        <v>23</v>
      </c>
    </row>
    <row r="3342" spans="1:11" ht="42" customHeight="1">
      <c r="A3342" s="4" t="s">
        <v>8355</v>
      </c>
      <c r="B3342" s="5" t="s">
        <v>8356</v>
      </c>
      <c r="C3342" s="5" t="s">
        <v>40</v>
      </c>
      <c r="D3342" s="5" t="s">
        <v>41</v>
      </c>
      <c r="E3342" s="5" t="s">
        <v>68</v>
      </c>
      <c r="F3342" s="9">
        <v>23</v>
      </c>
      <c r="G3342" s="9">
        <v>243</v>
      </c>
      <c r="H3342" s="5" t="s">
        <v>21</v>
      </c>
      <c r="I3342" s="5" t="s">
        <v>8358</v>
      </c>
      <c r="J3342" s="12" t="str">
        <f>HYPERLINK("https://www.boe.es/gazeta/dias/1803/03/22/pdfs/GMD-1803-23.pdf#page=3","Abrir facsímil")</f>
        <v>Abrir facsímil</v>
      </c>
      <c r="K3342" s="15" t="s">
        <v>23</v>
      </c>
    </row>
    <row r="3343" spans="1:11" ht="42" customHeight="1">
      <c r="A3343" s="4" t="s">
        <v>8355</v>
      </c>
      <c r="B3343" s="5" t="s">
        <v>8356</v>
      </c>
      <c r="C3343" s="5" t="s">
        <v>51</v>
      </c>
      <c r="D3343" s="5" t="s">
        <v>52</v>
      </c>
      <c r="E3343" s="5" t="s">
        <v>309</v>
      </c>
      <c r="F3343" s="9">
        <v>37</v>
      </c>
      <c r="G3343" s="9">
        <v>381</v>
      </c>
      <c r="H3343" s="5" t="s">
        <v>21</v>
      </c>
      <c r="I3343" s="5" t="s">
        <v>8359</v>
      </c>
      <c r="J3343" s="12" t="str">
        <f>HYPERLINK("https://www.boe.es/gazeta/dias/1803/05/10/pdfs/GMD-1803-37.pdf#page=5","Abrir facsímil")</f>
        <v>Abrir facsímil</v>
      </c>
      <c r="K3343" s="15" t="s">
        <v>23</v>
      </c>
    </row>
    <row r="3344" spans="1:11" ht="42" customHeight="1">
      <c r="A3344" s="4" t="s">
        <v>8355</v>
      </c>
      <c r="B3344" s="5" t="s">
        <v>8356</v>
      </c>
      <c r="C3344" s="5" t="s">
        <v>40</v>
      </c>
      <c r="D3344" s="5" t="s">
        <v>41</v>
      </c>
      <c r="E3344" s="5" t="s">
        <v>606</v>
      </c>
      <c r="F3344" s="9">
        <v>47</v>
      </c>
      <c r="G3344" s="9">
        <v>492</v>
      </c>
      <c r="H3344" s="5" t="s">
        <v>21</v>
      </c>
      <c r="I3344" s="5" t="s">
        <v>8360</v>
      </c>
      <c r="J3344" s="12" t="str">
        <f>HYPERLINK("https://www.boe.es/gazeta/dias/1803/06/14/pdfs/GMD-1803-47.pdf#page=4","Abrir facsímil")</f>
        <v>Abrir facsímil</v>
      </c>
      <c r="K3344" s="15" t="s">
        <v>23</v>
      </c>
    </row>
    <row r="3345" spans="1:11" ht="42" customHeight="1">
      <c r="A3345" s="4" t="s">
        <v>8355</v>
      </c>
      <c r="B3345" s="5" t="s">
        <v>8356</v>
      </c>
      <c r="C3345" s="5" t="s">
        <v>40</v>
      </c>
      <c r="D3345" s="5" t="s">
        <v>41</v>
      </c>
      <c r="E3345" s="5" t="s">
        <v>519</v>
      </c>
      <c r="F3345" s="9">
        <v>50</v>
      </c>
      <c r="G3345" s="9">
        <v>533</v>
      </c>
      <c r="H3345" s="5" t="s">
        <v>21</v>
      </c>
      <c r="I3345" s="5" t="s">
        <v>8361</v>
      </c>
      <c r="J3345" s="12" t="str">
        <f>HYPERLINK("https://www.boe.es/gazeta/dias/1803/06/24/pdfs/GMD-1803-50.pdf#page=1","Abrir facsímil")</f>
        <v>Abrir facsímil</v>
      </c>
      <c r="K3345" s="15" t="s">
        <v>23</v>
      </c>
    </row>
    <row r="3346" spans="1:11" ht="42" customHeight="1">
      <c r="A3346" s="4" t="s">
        <v>8355</v>
      </c>
      <c r="B3346" s="5" t="s">
        <v>8356</v>
      </c>
      <c r="C3346" s="5" t="s">
        <v>26</v>
      </c>
      <c r="D3346" s="5" t="s">
        <v>27</v>
      </c>
      <c r="E3346" s="5" t="s">
        <v>36</v>
      </c>
      <c r="F3346" s="9">
        <v>79</v>
      </c>
      <c r="G3346" s="9">
        <v>853</v>
      </c>
      <c r="H3346" s="5" t="s">
        <v>21</v>
      </c>
      <c r="I3346" s="5" t="s">
        <v>8362</v>
      </c>
      <c r="J3346" s="12" t="str">
        <f>HYPERLINK("https://www.boe.es/gazeta/dias/1803/09/30/pdfs/GMD-1803-79.pdf#page=5","Abrir facsímil")</f>
        <v>Abrir facsímil</v>
      </c>
      <c r="K3346" s="15" t="s">
        <v>23</v>
      </c>
    </row>
    <row r="3347" spans="1:11" ht="42" customHeight="1">
      <c r="A3347" s="4" t="s">
        <v>8355</v>
      </c>
      <c r="B3347" s="5" t="s">
        <v>8356</v>
      </c>
      <c r="C3347" s="5" t="s">
        <v>51</v>
      </c>
      <c r="D3347" s="5" t="s">
        <v>52</v>
      </c>
      <c r="E3347" s="5" t="s">
        <v>199</v>
      </c>
      <c r="F3347" s="9">
        <v>88</v>
      </c>
      <c r="G3347" s="9">
        <v>943</v>
      </c>
      <c r="H3347" s="5" t="s">
        <v>21</v>
      </c>
      <c r="I3347" s="5" t="s">
        <v>8363</v>
      </c>
      <c r="J3347" s="12" t="str">
        <f>HYPERLINK("https://www.boe.es/gazeta/dias/1803/11/01/pdfs/GMD-1803-88.pdf#page=3","Abrir facsímil")</f>
        <v>Abrir facsímil</v>
      </c>
      <c r="K3347" s="15" t="s">
        <v>23</v>
      </c>
    </row>
    <row r="3348" spans="1:11" ht="42" customHeight="1">
      <c r="A3348" s="4" t="s">
        <v>8364</v>
      </c>
      <c r="B3348" s="5" t="s">
        <v>8365</v>
      </c>
      <c r="C3348" s="5" t="s">
        <v>40</v>
      </c>
      <c r="D3348" s="5" t="s">
        <v>41</v>
      </c>
      <c r="E3348" s="5" t="s">
        <v>630</v>
      </c>
      <c r="F3348" s="9">
        <v>85</v>
      </c>
      <c r="G3348" s="9">
        <v>916</v>
      </c>
      <c r="H3348" s="5" t="s">
        <v>21</v>
      </c>
      <c r="I3348" s="5" t="s">
        <v>8366</v>
      </c>
      <c r="J3348" s="12" t="str">
        <f>HYPERLINK("https://www.boe.es/gazeta/dias/1803/10/21/pdfs/GMD-1803-85.pdf#page=8","Abrir facsímil")</f>
        <v>Abrir facsímil</v>
      </c>
      <c r="K3348" s="15" t="s">
        <v>23</v>
      </c>
    </row>
    <row r="3349" spans="1:11" ht="42" customHeight="1">
      <c r="A3349" s="4" t="s">
        <v>8367</v>
      </c>
      <c r="B3349" s="5" t="s">
        <v>8368</v>
      </c>
      <c r="C3349" s="5" t="s">
        <v>26</v>
      </c>
      <c r="D3349" s="5" t="s">
        <v>27</v>
      </c>
      <c r="E3349" s="5" t="s">
        <v>218</v>
      </c>
      <c r="F3349" s="9">
        <v>19</v>
      </c>
      <c r="G3349" s="9">
        <v>201</v>
      </c>
      <c r="H3349" s="5" t="s">
        <v>21</v>
      </c>
      <c r="I3349" s="5" t="s">
        <v>8369</v>
      </c>
      <c r="J3349" s="12" t="str">
        <f>HYPERLINK("https://www.boe.es/gazeta/dias/1803/03/08/pdfs/GMD-1803-19.pdf#page=9","Abrir facsímil")</f>
        <v>Abrir facsímil</v>
      </c>
      <c r="K3349" s="15" t="s">
        <v>23</v>
      </c>
    </row>
    <row r="3350" spans="1:11" ht="42" customHeight="1">
      <c r="A3350" s="4" t="s">
        <v>8370</v>
      </c>
      <c r="B3350" s="5" t="s">
        <v>8371</v>
      </c>
      <c r="C3350" s="5" t="s">
        <v>26</v>
      </c>
      <c r="D3350" s="5" t="s">
        <v>27</v>
      </c>
      <c r="E3350" s="5" t="s">
        <v>278</v>
      </c>
      <c r="F3350" s="9">
        <v>46</v>
      </c>
      <c r="G3350" s="9">
        <v>487</v>
      </c>
      <c r="H3350" s="5" t="s">
        <v>21</v>
      </c>
      <c r="I3350" s="5" t="s">
        <v>8372</v>
      </c>
      <c r="J3350" s="12" t="str">
        <f>HYPERLINK("https://www.boe.es/gazeta/dias/1803/06/10/pdfs/GMD-1803-46.pdf#page=11","Abrir facsímil")</f>
        <v>Abrir facsímil</v>
      </c>
      <c r="K3350" s="15" t="s">
        <v>23</v>
      </c>
    </row>
    <row r="3351" spans="1:11" ht="42" customHeight="1">
      <c r="A3351" s="4" t="s">
        <v>8373</v>
      </c>
      <c r="B3351" s="5" t="s">
        <v>8374</v>
      </c>
      <c r="C3351" s="5" t="s">
        <v>51</v>
      </c>
      <c r="D3351" s="5" t="s">
        <v>52</v>
      </c>
      <c r="E3351" s="5" t="s">
        <v>109</v>
      </c>
      <c r="F3351" s="9">
        <v>102</v>
      </c>
      <c r="G3351" s="9">
        <v>1096</v>
      </c>
      <c r="H3351" s="5" t="s">
        <v>21</v>
      </c>
      <c r="I3351" s="5" t="s">
        <v>8375</v>
      </c>
      <c r="J3351" s="12" t="str">
        <f>HYPERLINK("https://www.boe.es/gazeta/dias/1803/12/20/pdfs/GMD-1803-102.pdf#page=8","Abrir facsímil")</f>
        <v>Abrir facsímil</v>
      </c>
      <c r="K3351" s="15" t="s">
        <v>23</v>
      </c>
    </row>
    <row r="3352" spans="1:11" ht="42" customHeight="1">
      <c r="A3352" s="4" t="s">
        <v>8376</v>
      </c>
      <c r="B3352" s="5" t="s">
        <v>8377</v>
      </c>
      <c r="C3352" s="5" t="s">
        <v>26</v>
      </c>
      <c r="D3352" s="5" t="s">
        <v>27</v>
      </c>
      <c r="E3352" s="5" t="s">
        <v>395</v>
      </c>
      <c r="F3352" s="9">
        <v>13</v>
      </c>
      <c r="G3352" s="9">
        <v>134</v>
      </c>
      <c r="H3352" s="5" t="s">
        <v>21</v>
      </c>
      <c r="I3352" s="5" t="s">
        <v>8378</v>
      </c>
      <c r="J3352" s="12" t="str">
        <f>HYPERLINK("https://www.boe.es/gazeta/dias/1803/02/15/pdfs/GMD-1803-13.pdf#page=10","Abrir facsímil")</f>
        <v>Abrir facsímil</v>
      </c>
      <c r="K3352" s="15" t="s">
        <v>23</v>
      </c>
    </row>
    <row r="3353" spans="1:11" ht="42" customHeight="1">
      <c r="A3353" s="4" t="s">
        <v>8379</v>
      </c>
      <c r="B3353" s="5" t="s">
        <v>8380</v>
      </c>
      <c r="C3353" s="5" t="s">
        <v>51</v>
      </c>
      <c r="D3353" s="5" t="s">
        <v>52</v>
      </c>
      <c r="E3353" s="5" t="s">
        <v>256</v>
      </c>
      <c r="F3353" s="9">
        <v>1</v>
      </c>
      <c r="G3353" s="9">
        <v>5</v>
      </c>
      <c r="H3353" s="5" t="s">
        <v>21</v>
      </c>
      <c r="I3353" s="5" t="s">
        <v>8381</v>
      </c>
      <c r="J3353" s="12" t="str">
        <f>HYPERLINK("https://www.boe.es/gazeta/dias/1803/01/04/pdfs/GMD-1803-1.pdf#page=5","Abrir facsímil")</f>
        <v>Abrir facsímil</v>
      </c>
      <c r="K3353" s="15" t="s">
        <v>23</v>
      </c>
    </row>
    <row r="3354" spans="1:11" ht="42" customHeight="1">
      <c r="A3354" s="4" t="s">
        <v>8379</v>
      </c>
      <c r="B3354" s="5" t="s">
        <v>8380</v>
      </c>
      <c r="C3354" s="5" t="s">
        <v>51</v>
      </c>
      <c r="D3354" s="5" t="s">
        <v>52</v>
      </c>
      <c r="E3354" s="5" t="s">
        <v>256</v>
      </c>
      <c r="F3354" s="9">
        <v>1</v>
      </c>
      <c r="G3354" s="9">
        <v>6</v>
      </c>
      <c r="H3354" s="5" t="s">
        <v>21</v>
      </c>
      <c r="I3354" s="5" t="s">
        <v>8382</v>
      </c>
      <c r="J3354" s="12" t="str">
        <f>HYPERLINK("https://www.boe.es/gazeta/dias/1803/01/04/pdfs/GMD-1803-1.pdf#page=6","Abrir facsímil")</f>
        <v>Abrir facsímil</v>
      </c>
      <c r="K3354" s="15" t="s">
        <v>23</v>
      </c>
    </row>
    <row r="3355" spans="1:11" ht="42" customHeight="1">
      <c r="A3355" s="4" t="s">
        <v>8379</v>
      </c>
      <c r="B3355" s="5" t="s">
        <v>8380</v>
      </c>
      <c r="C3355" s="5" t="s">
        <v>40</v>
      </c>
      <c r="D3355" s="5" t="s">
        <v>41</v>
      </c>
      <c r="E3355" s="5" t="s">
        <v>285</v>
      </c>
      <c r="F3355" s="9">
        <v>5</v>
      </c>
      <c r="G3355" s="9">
        <v>43</v>
      </c>
      <c r="H3355" s="5" t="s">
        <v>21</v>
      </c>
      <c r="I3355" s="5" t="s">
        <v>8383</v>
      </c>
      <c r="J3355" s="12" t="str">
        <f>HYPERLINK("https://www.boe.es/gazeta/dias/1803/01/18/pdfs/GMD-1803-5.pdf#page=7","Abrir facsímil")</f>
        <v>Abrir facsímil</v>
      </c>
      <c r="K3355" s="15" t="s">
        <v>23</v>
      </c>
    </row>
    <row r="3356" spans="1:11" ht="42" customHeight="1">
      <c r="A3356" s="4" t="s">
        <v>8379</v>
      </c>
      <c r="B3356" s="5" t="s">
        <v>8380</v>
      </c>
      <c r="C3356" s="5" t="s">
        <v>51</v>
      </c>
      <c r="D3356" s="5" t="s">
        <v>52</v>
      </c>
      <c r="E3356" s="5" t="s">
        <v>509</v>
      </c>
      <c r="F3356" s="9">
        <v>6</v>
      </c>
      <c r="G3356" s="9">
        <v>53</v>
      </c>
      <c r="H3356" s="5" t="s">
        <v>21</v>
      </c>
      <c r="I3356" s="5" t="s">
        <v>8384</v>
      </c>
      <c r="J3356" s="12" t="str">
        <f>HYPERLINK("https://www.boe.es/gazeta/dias/1803/01/21/pdfs/GMD-1803-6.pdf#page=5","Abrir facsímil")</f>
        <v>Abrir facsímil</v>
      </c>
      <c r="K3356" s="15" t="s">
        <v>23</v>
      </c>
    </row>
    <row r="3357" spans="1:11" ht="42" customHeight="1">
      <c r="A3357" s="4" t="s">
        <v>8379</v>
      </c>
      <c r="B3357" s="5" t="s">
        <v>8380</v>
      </c>
      <c r="C3357" s="5" t="s">
        <v>51</v>
      </c>
      <c r="D3357" s="5" t="s">
        <v>52</v>
      </c>
      <c r="E3357" s="5" t="s">
        <v>258</v>
      </c>
      <c r="F3357" s="9">
        <v>7</v>
      </c>
      <c r="G3357" s="9">
        <v>64</v>
      </c>
      <c r="H3357" s="5" t="s">
        <v>21</v>
      </c>
      <c r="I3357" s="5" t="s">
        <v>8385</v>
      </c>
      <c r="J3357" s="12" t="str">
        <f>HYPERLINK("https://www.boe.es/gazeta/dias/1803/01/25/pdfs/GMD-1803-7.pdf#page=4","Abrir facsímil")</f>
        <v>Abrir facsímil</v>
      </c>
      <c r="K3357" s="15" t="s">
        <v>23</v>
      </c>
    </row>
    <row r="3358" spans="1:11" ht="42" customHeight="1">
      <c r="A3358" s="4" t="s">
        <v>8379</v>
      </c>
      <c r="B3358" s="5" t="s">
        <v>8380</v>
      </c>
      <c r="C3358" s="5" t="s">
        <v>46</v>
      </c>
      <c r="D3358" s="5" t="s">
        <v>19</v>
      </c>
      <c r="E3358" s="5" t="s">
        <v>42</v>
      </c>
      <c r="F3358" s="9">
        <v>10</v>
      </c>
      <c r="G3358" s="9">
        <v>101</v>
      </c>
      <c r="H3358" s="5" t="s">
        <v>21</v>
      </c>
      <c r="I3358" s="5" t="s">
        <v>8386</v>
      </c>
      <c r="J3358" s="12" t="str">
        <f>HYPERLINK("https://www.boe.es/gazeta/dias/1803/02/04/pdfs/GMD-1803-10.pdf#page=5","Abrir facsímil")</f>
        <v>Abrir facsímil</v>
      </c>
      <c r="K3358" s="15" t="s">
        <v>23</v>
      </c>
    </row>
    <row r="3359" spans="1:11" ht="42" customHeight="1">
      <c r="A3359" s="4" t="s">
        <v>8379</v>
      </c>
      <c r="B3359" s="5" t="s">
        <v>8380</v>
      </c>
      <c r="C3359" s="5" t="s">
        <v>40</v>
      </c>
      <c r="D3359" s="5" t="s">
        <v>41</v>
      </c>
      <c r="E3359" s="5" t="s">
        <v>332</v>
      </c>
      <c r="F3359" s="9">
        <v>11</v>
      </c>
      <c r="G3359" s="9">
        <v>108</v>
      </c>
      <c r="H3359" s="5" t="s">
        <v>21</v>
      </c>
      <c r="I3359" s="5" t="s">
        <v>8387</v>
      </c>
      <c r="J3359" s="12" t="str">
        <f>HYPERLINK("https://www.boe.es/gazeta/dias/1803/02/08/pdfs/GMD-1803-11.pdf#page=4","Abrir facsímil")</f>
        <v>Abrir facsímil</v>
      </c>
      <c r="K3359" s="15" t="s">
        <v>23</v>
      </c>
    </row>
    <row r="3360" spans="1:11" ht="42" customHeight="1">
      <c r="A3360" s="4" t="s">
        <v>8379</v>
      </c>
      <c r="B3360" s="5" t="s">
        <v>8380</v>
      </c>
      <c r="C3360" s="5" t="s">
        <v>40</v>
      </c>
      <c r="D3360" s="5" t="s">
        <v>41</v>
      </c>
      <c r="E3360" s="5" t="s">
        <v>152</v>
      </c>
      <c r="F3360" s="9">
        <v>16</v>
      </c>
      <c r="G3360" s="9">
        <v>164</v>
      </c>
      <c r="H3360" s="5" t="s">
        <v>21</v>
      </c>
      <c r="I3360" s="5" t="s">
        <v>8388</v>
      </c>
      <c r="J3360" s="12" t="str">
        <f>HYPERLINK("https://www.boe.es/gazeta/dias/1803/02/25/pdfs/GMD-1803-16.pdf#page=4","Abrir facsímil")</f>
        <v>Abrir facsímil</v>
      </c>
      <c r="K3360" s="15" t="s">
        <v>23</v>
      </c>
    </row>
    <row r="3361" spans="1:11" ht="42" customHeight="1">
      <c r="A3361" s="4" t="s">
        <v>8379</v>
      </c>
      <c r="B3361" s="5" t="s">
        <v>8380</v>
      </c>
      <c r="C3361" s="5" t="s">
        <v>40</v>
      </c>
      <c r="D3361" s="5" t="s">
        <v>41</v>
      </c>
      <c r="E3361" s="5" t="s">
        <v>218</v>
      </c>
      <c r="F3361" s="9">
        <v>19</v>
      </c>
      <c r="G3361" s="9">
        <v>197</v>
      </c>
      <c r="H3361" s="5" t="s">
        <v>21</v>
      </c>
      <c r="I3361" s="5" t="s">
        <v>8389</v>
      </c>
      <c r="J3361" s="12" t="str">
        <f>HYPERLINK("https://www.boe.es/gazeta/dias/1803/03/08/pdfs/GMD-1803-19.pdf#page=5","Abrir facsímil")</f>
        <v>Abrir facsímil</v>
      </c>
      <c r="K3361" s="15" t="s">
        <v>23</v>
      </c>
    </row>
    <row r="3362" spans="1:11" ht="42" customHeight="1">
      <c r="A3362" s="4" t="s">
        <v>8379</v>
      </c>
      <c r="B3362" s="5" t="s">
        <v>8380</v>
      </c>
      <c r="C3362" s="5" t="s">
        <v>46</v>
      </c>
      <c r="D3362" s="5" t="s">
        <v>19</v>
      </c>
      <c r="E3362" s="5" t="s">
        <v>124</v>
      </c>
      <c r="F3362" s="9">
        <v>20</v>
      </c>
      <c r="G3362" s="9">
        <v>207</v>
      </c>
      <c r="H3362" s="5" t="s">
        <v>21</v>
      </c>
      <c r="I3362" s="5" t="s">
        <v>8390</v>
      </c>
      <c r="J3362" s="12" t="str">
        <f>HYPERLINK("https://www.boe.es/gazeta/dias/1803/03/11/pdfs/GMD-1803-20.pdf#page=3","Abrir facsímil")</f>
        <v>Abrir facsímil</v>
      </c>
      <c r="K3362" s="15" t="s">
        <v>23</v>
      </c>
    </row>
    <row r="3363" spans="1:11" ht="42" customHeight="1">
      <c r="A3363" s="4" t="s">
        <v>8379</v>
      </c>
      <c r="B3363" s="5" t="s">
        <v>8380</v>
      </c>
      <c r="C3363" s="5" t="s">
        <v>40</v>
      </c>
      <c r="D3363" s="5" t="s">
        <v>41</v>
      </c>
      <c r="E3363" s="5" t="s">
        <v>501</v>
      </c>
      <c r="F3363" s="9">
        <v>22</v>
      </c>
      <c r="G3363" s="9">
        <v>232</v>
      </c>
      <c r="H3363" s="5" t="s">
        <v>21</v>
      </c>
      <c r="I3363" s="5" t="s">
        <v>8391</v>
      </c>
      <c r="J3363" s="12" t="str">
        <f>HYPERLINK("https://www.boe.es/gazeta/dias/1803/03/18/pdfs/GMD-1803-22.pdf#page=4","Abrir facsímil")</f>
        <v>Abrir facsímil</v>
      </c>
      <c r="K3363" s="15" t="s">
        <v>23</v>
      </c>
    </row>
    <row r="3364" spans="1:11" ht="42" customHeight="1">
      <c r="A3364" s="4" t="s">
        <v>8379</v>
      </c>
      <c r="B3364" s="5" t="s">
        <v>8380</v>
      </c>
      <c r="C3364" s="5" t="s">
        <v>40</v>
      </c>
      <c r="D3364" s="5" t="s">
        <v>41</v>
      </c>
      <c r="E3364" s="5" t="s">
        <v>47</v>
      </c>
      <c r="F3364" s="9">
        <v>33</v>
      </c>
      <c r="G3364" s="9">
        <v>342</v>
      </c>
      <c r="H3364" s="5" t="s">
        <v>21</v>
      </c>
      <c r="I3364" s="5" t="s">
        <v>8392</v>
      </c>
      <c r="J3364" s="12" t="str">
        <f>HYPERLINK("https://www.boe.es/gazeta/dias/1803/04/26/pdfs/GMD-1803-33.pdf#page=2","Abrir facsímil")</f>
        <v>Abrir facsímil</v>
      </c>
      <c r="K3364" s="15" t="s">
        <v>23</v>
      </c>
    </row>
    <row r="3365" spans="1:11" ht="42" customHeight="1">
      <c r="A3365" s="4" t="s">
        <v>8379</v>
      </c>
      <c r="B3365" s="5" t="s">
        <v>8380</v>
      </c>
      <c r="C3365" s="5" t="s">
        <v>40</v>
      </c>
      <c r="D3365" s="5" t="s">
        <v>41</v>
      </c>
      <c r="E3365" s="5" t="s">
        <v>61</v>
      </c>
      <c r="F3365" s="9">
        <v>67</v>
      </c>
      <c r="G3365" s="9">
        <v>726</v>
      </c>
      <c r="H3365" s="5" t="s">
        <v>21</v>
      </c>
      <c r="I3365" s="5" t="s">
        <v>8393</v>
      </c>
      <c r="J3365" s="12" t="str">
        <f>HYPERLINK("https://www.boe.es/gazeta/dias/1803/08/23/pdfs/GMD-1803-67.pdf#page=6","Abrir facsímil")</f>
        <v>Abrir facsímil</v>
      </c>
      <c r="K3365" s="15" t="s">
        <v>23</v>
      </c>
    </row>
    <row r="3366" spans="1:11" ht="42" customHeight="1">
      <c r="A3366" s="4" t="s">
        <v>8379</v>
      </c>
      <c r="B3366" s="5" t="s">
        <v>8380</v>
      </c>
      <c r="C3366" s="5" t="s">
        <v>26</v>
      </c>
      <c r="D3366" s="5" t="s">
        <v>27</v>
      </c>
      <c r="E3366" s="5" t="s">
        <v>439</v>
      </c>
      <c r="F3366" s="9">
        <v>76</v>
      </c>
      <c r="G3366" s="9">
        <v>819</v>
      </c>
      <c r="H3366" s="5" t="s">
        <v>21</v>
      </c>
      <c r="I3366" s="5" t="s">
        <v>8394</v>
      </c>
      <c r="J3366" s="12" t="str">
        <f>HYPERLINK("https://www.boe.es/gazeta/dias/1803/09/20/pdfs/GMD-1803-76.pdf#page=7","Abrir facsímil")</f>
        <v>Abrir facsímil</v>
      </c>
      <c r="K3366" s="15" t="s">
        <v>23</v>
      </c>
    </row>
    <row r="3367" spans="1:11" ht="42" customHeight="1">
      <c r="A3367" s="4" t="s">
        <v>8379</v>
      </c>
      <c r="B3367" s="5" t="s">
        <v>8380</v>
      </c>
      <c r="C3367" s="5" t="s">
        <v>26</v>
      </c>
      <c r="D3367" s="5" t="s">
        <v>27</v>
      </c>
      <c r="E3367" s="5" t="s">
        <v>555</v>
      </c>
      <c r="F3367" s="9">
        <v>83</v>
      </c>
      <c r="G3367" s="9">
        <v>893</v>
      </c>
      <c r="H3367" s="5" t="s">
        <v>21</v>
      </c>
      <c r="I3367" s="5" t="s">
        <v>8395</v>
      </c>
      <c r="J3367" s="12" t="str">
        <f>HYPERLINK("https://www.boe.es/gazeta/dias/1803/10/14/pdfs/GMD-1803-83.pdf#page=5","Abrir facsímil")</f>
        <v>Abrir facsímil</v>
      </c>
      <c r="K3367" s="15" t="s">
        <v>23</v>
      </c>
    </row>
    <row r="3368" spans="1:11" ht="42" customHeight="1">
      <c r="A3368" s="4" t="s">
        <v>8379</v>
      </c>
      <c r="B3368" s="5" t="s">
        <v>8380</v>
      </c>
      <c r="C3368" s="5" t="s">
        <v>26</v>
      </c>
      <c r="D3368" s="5" t="s">
        <v>27</v>
      </c>
      <c r="E3368" s="5" t="s">
        <v>630</v>
      </c>
      <c r="F3368" s="9">
        <v>85</v>
      </c>
      <c r="G3368" s="9">
        <v>912</v>
      </c>
      <c r="H3368" s="5" t="s">
        <v>21</v>
      </c>
      <c r="I3368" s="5" t="s">
        <v>8396</v>
      </c>
      <c r="J3368" s="12" t="str">
        <f>HYPERLINK("https://www.boe.es/gazeta/dias/1803/10/21/pdfs/GMD-1803-85.pdf#page=4","Abrir facsímil")</f>
        <v>Abrir facsímil</v>
      </c>
      <c r="K3368" s="15" t="s">
        <v>23</v>
      </c>
    </row>
    <row r="3369" spans="1:11" ht="42" customHeight="1">
      <c r="A3369" s="4" t="s">
        <v>8379</v>
      </c>
      <c r="B3369" s="5" t="s">
        <v>8380</v>
      </c>
      <c r="C3369" s="5" t="s">
        <v>26</v>
      </c>
      <c r="D3369" s="5" t="s">
        <v>27</v>
      </c>
      <c r="E3369" s="5" t="s">
        <v>784</v>
      </c>
      <c r="F3369" s="9">
        <v>86</v>
      </c>
      <c r="G3369" s="9">
        <v>926</v>
      </c>
      <c r="H3369" s="5" t="s">
        <v>21</v>
      </c>
      <c r="I3369" s="5" t="s">
        <v>8397</v>
      </c>
      <c r="J3369" s="12" t="str">
        <f>HYPERLINK("https://www.boe.es/gazeta/dias/1803/10/25/pdfs/GMD-1803-86.pdf#page=6","Abrir facsímil")</f>
        <v>Abrir facsímil</v>
      </c>
      <c r="K3369" s="15" t="s">
        <v>23</v>
      </c>
    </row>
    <row r="3370" spans="1:11" ht="42" customHeight="1">
      <c r="A3370" s="4" t="s">
        <v>8398</v>
      </c>
      <c r="B3370" s="5" t="s">
        <v>8398</v>
      </c>
      <c r="C3370" s="5" t="s">
        <v>80</v>
      </c>
      <c r="D3370" s="5" t="s">
        <v>81</v>
      </c>
      <c r="E3370" s="5" t="s">
        <v>156</v>
      </c>
      <c r="F3370" s="9">
        <v>2</v>
      </c>
      <c r="G3370" s="9">
        <v>19</v>
      </c>
      <c r="H3370" s="5" t="s">
        <v>21</v>
      </c>
      <c r="I3370" s="5" t="s">
        <v>8399</v>
      </c>
      <c r="J3370" s="12" t="str">
        <f>HYPERLINK("https://www.boe.es/gazeta/dias/1803/01/07/pdfs/GMD-1803-2.pdf#page=11","Abrir facsímil")</f>
        <v>Abrir facsímil</v>
      </c>
      <c r="K3370" s="15" t="s">
        <v>23</v>
      </c>
    </row>
    <row r="3371" spans="1:11" ht="42" customHeight="1">
      <c r="A3371" s="4" t="s">
        <v>8400</v>
      </c>
      <c r="B3371" s="5" t="s">
        <v>8400</v>
      </c>
      <c r="C3371" s="5" t="s">
        <v>46</v>
      </c>
      <c r="D3371" s="5" t="s">
        <v>19</v>
      </c>
      <c r="E3371" s="5" t="s">
        <v>53</v>
      </c>
      <c r="F3371" s="9">
        <v>99</v>
      </c>
      <c r="G3371" s="9">
        <v>1062</v>
      </c>
      <c r="H3371" s="5" t="s">
        <v>21</v>
      </c>
      <c r="I3371" s="5" t="s">
        <v>8401</v>
      </c>
      <c r="J3371" s="12" t="str">
        <f>HYPERLINK("https://www.boe.es/gazeta/dias/1803/12/09/pdfs/GMD-1803-99.pdf#page=10","Abrir facsímil")</f>
        <v>Abrir facsímil</v>
      </c>
      <c r="K3371" s="15" t="s">
        <v>23</v>
      </c>
    </row>
    <row r="3372" spans="1:11" ht="42" customHeight="1">
      <c r="A3372" s="4" t="s">
        <v>8402</v>
      </c>
      <c r="B3372" s="5" t="s">
        <v>8403</v>
      </c>
      <c r="C3372" s="5" t="s">
        <v>40</v>
      </c>
      <c r="D3372" s="5" t="s">
        <v>41</v>
      </c>
      <c r="E3372" s="5" t="s">
        <v>501</v>
      </c>
      <c r="F3372" s="9">
        <v>22</v>
      </c>
      <c r="G3372" s="9">
        <v>230</v>
      </c>
      <c r="H3372" s="5" t="s">
        <v>21</v>
      </c>
      <c r="I3372" s="5" t="s">
        <v>8404</v>
      </c>
      <c r="J3372" s="12" t="str">
        <f>HYPERLINK("https://www.boe.es/gazeta/dias/1803/03/18/pdfs/GMD-1803-22.pdf#page=2","Abrir facsímil")</f>
        <v>Abrir facsímil</v>
      </c>
      <c r="K3372" s="15" t="s">
        <v>23</v>
      </c>
    </row>
    <row r="3373" spans="1:11" ht="42" customHeight="1">
      <c r="A3373" s="4" t="s">
        <v>8405</v>
      </c>
      <c r="B3373" s="5" t="s">
        <v>8405</v>
      </c>
      <c r="C3373" s="5" t="s">
        <v>40</v>
      </c>
      <c r="D3373" s="5" t="s">
        <v>41</v>
      </c>
      <c r="E3373" s="5" t="s">
        <v>64</v>
      </c>
      <c r="F3373" s="9">
        <v>65</v>
      </c>
      <c r="G3373" s="9">
        <v>704</v>
      </c>
      <c r="H3373" s="5" t="s">
        <v>21</v>
      </c>
      <c r="I3373" s="5" t="s">
        <v>8406</v>
      </c>
      <c r="J3373" s="12" t="str">
        <f>HYPERLINK("https://www.boe.es/gazeta/dias/1803/08/16/pdfs/GMD-1803-65.pdf#page=4","Abrir facsímil")</f>
        <v>Abrir facsímil</v>
      </c>
      <c r="K3373" s="15" t="s">
        <v>23</v>
      </c>
    </row>
    <row r="3374" spans="1:11" ht="42" customHeight="1">
      <c r="A3374" s="4" t="s">
        <v>8407</v>
      </c>
      <c r="B3374" s="5" t="s">
        <v>8407</v>
      </c>
      <c r="C3374" s="5" t="s">
        <v>26</v>
      </c>
      <c r="D3374" s="5" t="s">
        <v>27</v>
      </c>
      <c r="E3374" s="5" t="s">
        <v>403</v>
      </c>
      <c r="F3374" s="9">
        <v>91</v>
      </c>
      <c r="G3374" s="9">
        <v>977</v>
      </c>
      <c r="H3374" s="5" t="s">
        <v>21</v>
      </c>
      <c r="I3374" s="5" t="s">
        <v>8408</v>
      </c>
      <c r="J3374" s="12" t="str">
        <f>HYPERLINK("https://www.boe.es/gazeta/dias/1803/11/11/pdfs/GMD-1803-91.pdf#page=9","Abrir facsímil")</f>
        <v>Abrir facsímil</v>
      </c>
      <c r="K3374" s="15" t="s">
        <v>23</v>
      </c>
    </row>
    <row r="3375" spans="1:11" ht="42" customHeight="1">
      <c r="A3375" s="4" t="s">
        <v>8409</v>
      </c>
      <c r="B3375" s="5" t="s">
        <v>8409</v>
      </c>
      <c r="C3375" s="5" t="s">
        <v>51</v>
      </c>
      <c r="D3375" s="5" t="s">
        <v>52</v>
      </c>
      <c r="E3375" s="5" t="s">
        <v>303</v>
      </c>
      <c r="F3375" s="9">
        <v>8</v>
      </c>
      <c r="G3375" s="9">
        <v>80</v>
      </c>
      <c r="H3375" s="5" t="s">
        <v>21</v>
      </c>
      <c r="I3375" s="5" t="s">
        <v>8410</v>
      </c>
      <c r="J3375" s="12" t="str">
        <f>HYPERLINK("https://www.boe.es/gazeta/dias/1803/01/28/pdfs/GMD-1803-8.pdf#page=8","Abrir facsímil")</f>
        <v>Abrir facsímil</v>
      </c>
      <c r="K3375" s="15" t="s">
        <v>23</v>
      </c>
    </row>
    <row r="3376" spans="1:11" ht="42" customHeight="1">
      <c r="A3376" s="4" t="s">
        <v>8411</v>
      </c>
      <c r="B3376" s="5" t="s">
        <v>8411</v>
      </c>
      <c r="C3376" s="5" t="s">
        <v>80</v>
      </c>
      <c r="D3376" s="5" t="s">
        <v>81</v>
      </c>
      <c r="E3376" s="5" t="s">
        <v>289</v>
      </c>
      <c r="F3376" s="9">
        <v>38</v>
      </c>
      <c r="G3376" s="9">
        <v>404</v>
      </c>
      <c r="H3376" s="5" t="s">
        <v>21</v>
      </c>
      <c r="I3376" s="5" t="s">
        <v>8412</v>
      </c>
      <c r="J3376" s="12" t="str">
        <f>HYPERLINK("https://www.boe.es/gazeta/dias/1803/05/13/pdfs/GMD-1803-38.pdf#page=12","Abrir facsímil")</f>
        <v>Abrir facsímil</v>
      </c>
      <c r="K3376" s="15" t="s">
        <v>23</v>
      </c>
    </row>
    <row r="3377" spans="1:11" ht="42" customHeight="1">
      <c r="A3377" s="4" t="s">
        <v>8413</v>
      </c>
      <c r="B3377" s="5" t="s">
        <v>8414</v>
      </c>
      <c r="C3377" s="5" t="s">
        <v>40</v>
      </c>
      <c r="D3377" s="5" t="s">
        <v>41</v>
      </c>
      <c r="E3377" s="5" t="s">
        <v>20</v>
      </c>
      <c r="F3377" s="9">
        <v>97</v>
      </c>
      <c r="G3377" s="9">
        <v>1039</v>
      </c>
      <c r="H3377" s="5" t="s">
        <v>21</v>
      </c>
      <c r="I3377" s="5" t="s">
        <v>8415</v>
      </c>
      <c r="J3377" s="12" t="str">
        <f>HYPERLINK("https://www.boe.es/gazeta/dias/1803/12/02/pdfs/GMD-1803-97.pdf#page=3","Abrir facsímil")</f>
        <v>Abrir facsímil</v>
      </c>
      <c r="K3377" s="15" t="s">
        <v>23</v>
      </c>
    </row>
    <row r="3378" spans="1:11" ht="42" customHeight="1">
      <c r="A3378" s="4" t="s">
        <v>8416</v>
      </c>
      <c r="B3378" s="5" t="s">
        <v>8417</v>
      </c>
      <c r="C3378" s="5" t="s">
        <v>51</v>
      </c>
      <c r="D3378" s="5" t="s">
        <v>52</v>
      </c>
      <c r="E3378" s="5" t="s">
        <v>189</v>
      </c>
      <c r="F3378" s="9">
        <v>9</v>
      </c>
      <c r="G3378" s="9">
        <v>96</v>
      </c>
      <c r="H3378" s="5" t="s">
        <v>21</v>
      </c>
      <c r="I3378" s="5" t="s">
        <v>8418</v>
      </c>
      <c r="J3378" s="12" t="str">
        <f>HYPERLINK("https://www.boe.es/gazeta/dias/1803/02/01/pdfs/GMD-1803-9.pdf#page=12","Abrir facsímil")</f>
        <v>Abrir facsímil</v>
      </c>
      <c r="K3378" s="15" t="s">
        <v>23</v>
      </c>
    </row>
    <row r="3379" spans="1:11" ht="42" customHeight="1">
      <c r="A3379" s="4" t="s">
        <v>8419</v>
      </c>
      <c r="B3379" s="5" t="s">
        <v>8420</v>
      </c>
      <c r="C3379" s="5" t="s">
        <v>51</v>
      </c>
      <c r="D3379" s="5" t="s">
        <v>52</v>
      </c>
      <c r="E3379" s="5" t="s">
        <v>278</v>
      </c>
      <c r="F3379" s="9">
        <v>46</v>
      </c>
      <c r="G3379" s="9">
        <v>485</v>
      </c>
      <c r="H3379" s="5" t="s">
        <v>21</v>
      </c>
      <c r="I3379" s="5" t="s">
        <v>8421</v>
      </c>
      <c r="J3379" s="12" t="str">
        <f>HYPERLINK("https://www.boe.es/gazeta/dias/1803/06/10/pdfs/GMD-1803-46.pdf#page=9","Abrir facsímil")</f>
        <v>Abrir facsímil</v>
      </c>
      <c r="K3379" s="15" t="s">
        <v>23</v>
      </c>
    </row>
    <row r="3380" spans="1:11" ht="42" customHeight="1">
      <c r="A3380" s="4" t="s">
        <v>8422</v>
      </c>
      <c r="B3380" s="5" t="s">
        <v>8423</v>
      </c>
      <c r="C3380" s="5" t="s">
        <v>26</v>
      </c>
      <c r="D3380" s="5" t="s">
        <v>27</v>
      </c>
      <c r="E3380" s="5" t="s">
        <v>32</v>
      </c>
      <c r="F3380" s="9">
        <v>74</v>
      </c>
      <c r="G3380" s="9">
        <v>803</v>
      </c>
      <c r="H3380" s="5" t="s">
        <v>21</v>
      </c>
      <c r="I3380" s="5" t="s">
        <v>8424</v>
      </c>
      <c r="J3380" s="12" t="str">
        <f>HYPERLINK("https://www.boe.es/gazeta/dias/1803/09/13/pdfs/GMD-1803-74.pdf#page=7","Abrir facsímil")</f>
        <v>Abrir facsímil</v>
      </c>
      <c r="K3380" s="15" t="s">
        <v>23</v>
      </c>
    </row>
    <row r="3381" spans="1:11" ht="42" customHeight="1">
      <c r="A3381" s="4" t="s">
        <v>8425</v>
      </c>
      <c r="B3381" s="5" t="s">
        <v>8426</v>
      </c>
      <c r="C3381" s="5" t="s">
        <v>26</v>
      </c>
      <c r="D3381" s="5" t="s">
        <v>27</v>
      </c>
      <c r="E3381" s="5" t="s">
        <v>68</v>
      </c>
      <c r="F3381" s="9">
        <v>23</v>
      </c>
      <c r="G3381" s="9">
        <v>246</v>
      </c>
      <c r="H3381" s="5" t="s">
        <v>21</v>
      </c>
      <c r="I3381" s="5" t="s">
        <v>8427</v>
      </c>
      <c r="J3381" s="12" t="str">
        <f>HYPERLINK("https://www.boe.es/gazeta/dias/1803/03/22/pdfs/GMD-1803-23.pdf#page=6","Abrir facsímil")</f>
        <v>Abrir facsímil</v>
      </c>
      <c r="K3381" s="15" t="s">
        <v>23</v>
      </c>
    </row>
    <row r="3382" spans="1:11" ht="42" customHeight="1">
      <c r="A3382" s="4" t="s">
        <v>8428</v>
      </c>
      <c r="B3382" s="5" t="s">
        <v>8428</v>
      </c>
      <c r="C3382" s="5" t="s">
        <v>26</v>
      </c>
      <c r="D3382" s="5" t="s">
        <v>27</v>
      </c>
      <c r="E3382" s="5" t="s">
        <v>407</v>
      </c>
      <c r="F3382" s="9">
        <v>82</v>
      </c>
      <c r="G3382" s="9">
        <v>885</v>
      </c>
      <c r="H3382" s="5" t="s">
        <v>21</v>
      </c>
      <c r="I3382" s="5" t="s">
        <v>8429</v>
      </c>
      <c r="J3382" s="12" t="str">
        <f>HYPERLINK("https://www.boe.es/gazeta/dias/1803/10/11/pdfs/GMD-1803-82.pdf#page=9","Abrir facsímil")</f>
        <v>Abrir facsímil</v>
      </c>
      <c r="K3382" s="15" t="s">
        <v>23</v>
      </c>
    </row>
    <row r="3383" spans="1:11" ht="42" customHeight="1">
      <c r="A3383" s="4" t="s">
        <v>8430</v>
      </c>
      <c r="B3383" s="5" t="s">
        <v>8431</v>
      </c>
      <c r="C3383" s="5" t="s">
        <v>40</v>
      </c>
      <c r="D3383" s="5" t="s">
        <v>41</v>
      </c>
      <c r="E3383" s="5" t="s">
        <v>164</v>
      </c>
      <c r="F3383" s="9">
        <v>84</v>
      </c>
      <c r="G3383" s="9">
        <v>899</v>
      </c>
      <c r="H3383" s="5" t="s">
        <v>21</v>
      </c>
      <c r="I3383" s="5" t="s">
        <v>8432</v>
      </c>
      <c r="J3383" s="12" t="str">
        <f>HYPERLINK("https://www.boe.es/gazeta/dias/1803/10/18/pdfs/GMD-1803-84.pdf#page=3","Abrir facsímil")</f>
        <v>Abrir facsímil</v>
      </c>
      <c r="K3383" s="15" t="s">
        <v>23</v>
      </c>
    </row>
    <row r="3384" spans="1:11" ht="42" customHeight="1">
      <c r="A3384" s="4" t="s">
        <v>8433</v>
      </c>
      <c r="B3384" s="5" t="s">
        <v>8434</v>
      </c>
      <c r="C3384" s="5" t="s">
        <v>26</v>
      </c>
      <c r="D3384" s="5" t="s">
        <v>27</v>
      </c>
      <c r="E3384" s="5" t="s">
        <v>606</v>
      </c>
      <c r="F3384" s="9">
        <v>47</v>
      </c>
      <c r="G3384" s="9">
        <v>498</v>
      </c>
      <c r="H3384" s="5" t="s">
        <v>21</v>
      </c>
      <c r="I3384" s="5" t="s">
        <v>8435</v>
      </c>
      <c r="J3384" s="12" t="str">
        <f>HYPERLINK("https://www.boe.es/gazeta/dias/1803/06/14/pdfs/GMD-1803-47.pdf#page=10","Abrir facsímil")</f>
        <v>Abrir facsímil</v>
      </c>
      <c r="K3384" s="15" t="s">
        <v>23</v>
      </c>
    </row>
    <row r="3385" spans="1:11" ht="42" customHeight="1">
      <c r="A3385" s="4" t="s">
        <v>8436</v>
      </c>
      <c r="B3385" s="5" t="s">
        <v>8437</v>
      </c>
      <c r="C3385" s="5" t="s">
        <v>26</v>
      </c>
      <c r="D3385" s="5" t="s">
        <v>27</v>
      </c>
      <c r="E3385" s="5" t="s">
        <v>36</v>
      </c>
      <c r="F3385" s="9">
        <v>79</v>
      </c>
      <c r="G3385" s="9">
        <v>855</v>
      </c>
      <c r="H3385" s="5" t="s">
        <v>21</v>
      </c>
      <c r="I3385" s="5" t="s">
        <v>8438</v>
      </c>
      <c r="J3385" s="12" t="str">
        <f>HYPERLINK("https://www.boe.es/gazeta/dias/1803/09/30/pdfs/GMD-1803-79.pdf#page=7","Abrir facsímil")</f>
        <v>Abrir facsímil</v>
      </c>
      <c r="K3385" s="15" t="s">
        <v>23</v>
      </c>
    </row>
    <row r="3386" spans="1:11" ht="42" customHeight="1">
      <c r="A3386" s="4" t="s">
        <v>8439</v>
      </c>
      <c r="B3386" s="5" t="s">
        <v>8440</v>
      </c>
      <c r="C3386" s="5" t="s">
        <v>51</v>
      </c>
      <c r="D3386" s="5" t="s">
        <v>52</v>
      </c>
      <c r="E3386" s="5" t="s">
        <v>609</v>
      </c>
      <c r="F3386" s="9">
        <v>57</v>
      </c>
      <c r="G3386" s="9">
        <v>619</v>
      </c>
      <c r="H3386" s="5" t="s">
        <v>21</v>
      </c>
      <c r="I3386" s="5" t="s">
        <v>8441</v>
      </c>
      <c r="J3386" s="12" t="str">
        <f>HYPERLINK("https://www.boe.es/gazeta/dias/1803/07/19/pdfs/GMD-1803-57.pdf#page=7","Abrir facsímil")</f>
        <v>Abrir facsímil</v>
      </c>
      <c r="K3386" s="15" t="s">
        <v>23</v>
      </c>
    </row>
    <row r="3387" spans="1:11" ht="42" customHeight="1">
      <c r="A3387" s="4" t="s">
        <v>8442</v>
      </c>
      <c r="B3387" s="5" t="s">
        <v>8443</v>
      </c>
      <c r="C3387" s="5" t="s">
        <v>18</v>
      </c>
      <c r="D3387" s="5" t="s">
        <v>19</v>
      </c>
      <c r="E3387" s="5" t="s">
        <v>148</v>
      </c>
      <c r="F3387" s="9">
        <v>15</v>
      </c>
      <c r="G3387" s="9">
        <v>156</v>
      </c>
      <c r="H3387" s="5" t="s">
        <v>21</v>
      </c>
      <c r="I3387" s="5" t="s">
        <v>8444</v>
      </c>
      <c r="J3387" s="12" t="str">
        <f>HYPERLINK("https://www.boe.es/gazeta/dias/1803/02/22/pdfs/GMD-1803-15.pdf#page=8","Abrir facsímil")</f>
        <v>Abrir facsímil</v>
      </c>
      <c r="K3387" s="15" t="s">
        <v>23</v>
      </c>
    </row>
    <row r="3388" spans="1:11" ht="42" customHeight="1">
      <c r="A3388" s="4" t="s">
        <v>8445</v>
      </c>
      <c r="B3388" s="5" t="s">
        <v>8446</v>
      </c>
      <c r="C3388" s="5" t="s">
        <v>26</v>
      </c>
      <c r="D3388" s="5" t="s">
        <v>27</v>
      </c>
      <c r="E3388" s="5" t="s">
        <v>71</v>
      </c>
      <c r="F3388" s="9">
        <v>39</v>
      </c>
      <c r="G3388" s="9">
        <v>414</v>
      </c>
      <c r="H3388" s="5" t="s">
        <v>21</v>
      </c>
      <c r="I3388" s="5" t="s">
        <v>8447</v>
      </c>
      <c r="J3388" s="12" t="str">
        <f>HYPERLINK("https://www.boe.es/gazeta/dias/1803/05/17/pdfs/GMD-1803-39.pdf#page=10","Abrir facsímil")</f>
        <v>Abrir facsímil</v>
      </c>
      <c r="K3388" s="15" t="s">
        <v>23</v>
      </c>
    </row>
    <row r="3389" spans="1:11" ht="42" customHeight="1">
      <c r="A3389" s="4" t="s">
        <v>8448</v>
      </c>
      <c r="B3389" s="5" t="s">
        <v>8449</v>
      </c>
      <c r="C3389" s="5" t="s">
        <v>26</v>
      </c>
      <c r="D3389" s="5" t="s">
        <v>27</v>
      </c>
      <c r="E3389" s="5" t="s">
        <v>571</v>
      </c>
      <c r="F3389" s="9">
        <v>103</v>
      </c>
      <c r="G3389" s="9">
        <v>1105</v>
      </c>
      <c r="H3389" s="5" t="s">
        <v>21</v>
      </c>
      <c r="I3389" s="5" t="s">
        <v>8450</v>
      </c>
      <c r="J3389" s="12" t="str">
        <f>HYPERLINK("https://www.boe.es/gazeta/dias/1803/12/23/pdfs/GMD-1803-103.pdf#page=5","Abrir facsímil")</f>
        <v>Abrir facsímil</v>
      </c>
      <c r="K3389" s="15" t="s">
        <v>23</v>
      </c>
    </row>
    <row r="3390" spans="1:11" ht="42" customHeight="1">
      <c r="A3390" s="4" t="s">
        <v>8451</v>
      </c>
      <c r="B3390" s="5" t="s">
        <v>8452</v>
      </c>
      <c r="C3390" s="5" t="s">
        <v>26</v>
      </c>
      <c r="D3390" s="5" t="s">
        <v>27</v>
      </c>
      <c r="E3390" s="5" t="s">
        <v>124</v>
      </c>
      <c r="F3390" s="9">
        <v>20</v>
      </c>
      <c r="G3390" s="9">
        <v>209</v>
      </c>
      <c r="H3390" s="5" t="s">
        <v>21</v>
      </c>
      <c r="I3390" s="5" t="s">
        <v>8453</v>
      </c>
      <c r="J3390" s="12" t="str">
        <f>HYPERLINK("https://www.boe.es/gazeta/dias/1803/03/11/pdfs/GMD-1803-20.pdf#page=5","Abrir facsímil")</f>
        <v>Abrir facsímil</v>
      </c>
      <c r="K3390" s="15" t="s">
        <v>23</v>
      </c>
    </row>
    <row r="3391" spans="1:11" ht="42" customHeight="1">
      <c r="A3391" s="4" t="s">
        <v>8454</v>
      </c>
      <c r="B3391" s="5" t="s">
        <v>8455</v>
      </c>
      <c r="C3391" s="5" t="s">
        <v>51</v>
      </c>
      <c r="D3391" s="5" t="s">
        <v>52</v>
      </c>
      <c r="E3391" s="5" t="s">
        <v>501</v>
      </c>
      <c r="F3391" s="9">
        <v>22</v>
      </c>
      <c r="G3391" s="9">
        <v>239</v>
      </c>
      <c r="H3391" s="5" t="s">
        <v>21</v>
      </c>
      <c r="I3391" s="5" t="s">
        <v>8456</v>
      </c>
      <c r="J3391" s="12" t="str">
        <f>HYPERLINK("https://www.boe.es/gazeta/dias/1803/03/18/pdfs/GMD-1803-22.pdf#page=11","Abrir facsímil")</f>
        <v>Abrir facsímil</v>
      </c>
      <c r="K3391" s="15" t="s">
        <v>23</v>
      </c>
    </row>
    <row r="3392" spans="1:11" ht="42" customHeight="1">
      <c r="A3392" s="4" t="s">
        <v>8457</v>
      </c>
      <c r="B3392" s="5" t="s">
        <v>8458</v>
      </c>
      <c r="C3392" s="5" t="s">
        <v>18</v>
      </c>
      <c r="D3392" s="5" t="s">
        <v>19</v>
      </c>
      <c r="E3392" s="5" t="s">
        <v>285</v>
      </c>
      <c r="F3392" s="9">
        <v>5</v>
      </c>
      <c r="G3392" s="9">
        <v>47</v>
      </c>
      <c r="H3392" s="5" t="s">
        <v>21</v>
      </c>
      <c r="I3392" s="5" t="s">
        <v>8459</v>
      </c>
      <c r="J3392" s="12" t="str">
        <f>HYPERLINK("https://www.boe.es/gazeta/dias/1803/01/18/pdfs/GMD-1803-5.pdf#page=11","Abrir facsímil")</f>
        <v>Abrir facsímil</v>
      </c>
      <c r="K3392" s="15" t="s">
        <v>23</v>
      </c>
    </row>
    <row r="3393" spans="1:11" ht="42" customHeight="1">
      <c r="A3393" s="4" t="s">
        <v>8457</v>
      </c>
      <c r="B3393" s="5" t="s">
        <v>8458</v>
      </c>
      <c r="C3393" s="5" t="s">
        <v>40</v>
      </c>
      <c r="D3393" s="5" t="s">
        <v>41</v>
      </c>
      <c r="E3393" s="5" t="s">
        <v>75</v>
      </c>
      <c r="F3393" s="9">
        <v>56</v>
      </c>
      <c r="G3393" s="9">
        <v>610</v>
      </c>
      <c r="H3393" s="5" t="s">
        <v>21</v>
      </c>
      <c r="I3393" s="5" t="s">
        <v>8460</v>
      </c>
      <c r="J3393" s="12" t="str">
        <f>HYPERLINK("https://www.boe.es/gazeta/dias/1803/07/15/pdfs/GMD-1803-56.pdf#page=6","Abrir facsímil")</f>
        <v>Abrir facsímil</v>
      </c>
      <c r="K3393" s="15" t="s">
        <v>23</v>
      </c>
    </row>
    <row r="3394" spans="1:11" ht="42" customHeight="1">
      <c r="A3394" s="4" t="s">
        <v>8457</v>
      </c>
      <c r="B3394" s="5" t="s">
        <v>8458</v>
      </c>
      <c r="C3394" s="5" t="s">
        <v>8461</v>
      </c>
      <c r="D3394" s="5" t="s">
        <v>8462</v>
      </c>
      <c r="E3394" s="5" t="s">
        <v>442</v>
      </c>
      <c r="F3394" s="9" t="s">
        <v>443</v>
      </c>
      <c r="G3394" s="9">
        <v>790</v>
      </c>
      <c r="H3394" s="5" t="s">
        <v>21</v>
      </c>
      <c r="I3394" s="5" t="s">
        <v>8463</v>
      </c>
      <c r="J3394" s="12" t="str">
        <f>HYPERLINK("https://www.boe.es/gazeta/dias/1803/09/12/pdfs/GMD-1803-73E.pdf#page=2","Abrir facsímil")</f>
        <v>Abrir facsímil</v>
      </c>
      <c r="K3394" s="15" t="s">
        <v>23</v>
      </c>
    </row>
    <row r="3395" spans="1:11" ht="42" customHeight="1">
      <c r="A3395" s="4" t="s">
        <v>8457</v>
      </c>
      <c r="B3395" s="5" t="s">
        <v>8458</v>
      </c>
      <c r="C3395" s="5" t="s">
        <v>8461</v>
      </c>
      <c r="D3395" s="5" t="s">
        <v>8462</v>
      </c>
      <c r="E3395" s="5" t="s">
        <v>442</v>
      </c>
      <c r="F3395" s="9" t="s">
        <v>443</v>
      </c>
      <c r="G3395" s="9">
        <v>792</v>
      </c>
      <c r="H3395" s="5" t="s">
        <v>21</v>
      </c>
      <c r="I3395" s="5" t="s">
        <v>8464</v>
      </c>
      <c r="J3395" s="12" t="str">
        <f>HYPERLINK("https://www.boe.es/gazeta/dias/1803/09/12/pdfs/GMD-1803-73E.pdf#page=4","Abrir facsímil")</f>
        <v>Abrir facsímil</v>
      </c>
      <c r="K3395" s="15" t="s">
        <v>23</v>
      </c>
    </row>
    <row r="3396" spans="1:11" ht="42" customHeight="1">
      <c r="A3396" s="4" t="s">
        <v>8465</v>
      </c>
      <c r="B3396" s="5" t="s">
        <v>8466</v>
      </c>
      <c r="C3396" s="5" t="s">
        <v>40</v>
      </c>
      <c r="D3396" s="5" t="s">
        <v>41</v>
      </c>
      <c r="E3396" s="5" t="s">
        <v>75</v>
      </c>
      <c r="F3396" s="9">
        <v>56</v>
      </c>
      <c r="G3396" s="9">
        <v>610</v>
      </c>
      <c r="H3396" s="5" t="s">
        <v>21</v>
      </c>
      <c r="I3396" s="5" t="s">
        <v>8467</v>
      </c>
      <c r="J3396" s="12" t="str">
        <f>HYPERLINK("https://www.boe.es/gazeta/dias/1803/07/15/pdfs/GMD-1803-56.pdf#page=6","Abrir facsímil")</f>
        <v>Abrir facsímil</v>
      </c>
      <c r="K3396" s="15" t="s">
        <v>23</v>
      </c>
    </row>
    <row r="3397" spans="1:11" ht="42" customHeight="1">
      <c r="A3397" s="4" t="s">
        <v>8468</v>
      </c>
      <c r="B3397" s="5" t="s">
        <v>8469</v>
      </c>
      <c r="C3397" s="5" t="s">
        <v>26</v>
      </c>
      <c r="D3397" s="5" t="s">
        <v>27</v>
      </c>
      <c r="E3397" s="5" t="s">
        <v>278</v>
      </c>
      <c r="F3397" s="9">
        <v>46</v>
      </c>
      <c r="G3397" s="9">
        <v>486</v>
      </c>
      <c r="H3397" s="5" t="s">
        <v>21</v>
      </c>
      <c r="I3397" s="5" t="s">
        <v>8470</v>
      </c>
      <c r="J3397" s="12" t="str">
        <f>HYPERLINK("https://www.boe.es/gazeta/dias/1803/06/10/pdfs/GMD-1803-46.pdf#page=10","Abrir facsímil")</f>
        <v>Abrir facsímil</v>
      </c>
      <c r="K3397" s="15" t="s">
        <v>23</v>
      </c>
    </row>
    <row r="3398" spans="1:11" ht="42" customHeight="1">
      <c r="A3398" s="4" t="s">
        <v>8471</v>
      </c>
      <c r="B3398" s="5" t="s">
        <v>8472</v>
      </c>
      <c r="C3398" s="5" t="s">
        <v>51</v>
      </c>
      <c r="D3398" s="5" t="s">
        <v>52</v>
      </c>
      <c r="E3398" s="5" t="s">
        <v>207</v>
      </c>
      <c r="F3398" s="9">
        <v>27</v>
      </c>
      <c r="G3398" s="9">
        <v>293</v>
      </c>
      <c r="H3398" s="5" t="s">
        <v>21</v>
      </c>
      <c r="I3398" s="5" t="s">
        <v>8473</v>
      </c>
      <c r="J3398" s="12" t="str">
        <f>HYPERLINK("https://www.boe.es/gazeta/dias/1803/04/05/pdfs/GMD-1803-27.pdf#page=9","Abrir facsímil")</f>
        <v>Abrir facsímil</v>
      </c>
      <c r="K3398" s="15" t="s">
        <v>23</v>
      </c>
    </row>
    <row r="3399" spans="1:11" ht="42" customHeight="1">
      <c r="A3399" s="4" t="s">
        <v>8474</v>
      </c>
      <c r="B3399" s="5" t="s">
        <v>8475</v>
      </c>
      <c r="C3399" s="5" t="s">
        <v>26</v>
      </c>
      <c r="D3399" s="5" t="s">
        <v>27</v>
      </c>
      <c r="E3399" s="5" t="s">
        <v>657</v>
      </c>
      <c r="F3399" s="9">
        <v>24</v>
      </c>
      <c r="G3399" s="9">
        <v>256</v>
      </c>
      <c r="H3399" s="5" t="s">
        <v>21</v>
      </c>
      <c r="I3399" s="5" t="s">
        <v>8476</v>
      </c>
      <c r="J3399" s="12" t="str">
        <f>HYPERLINK("https://www.boe.es/gazeta/dias/1803/03/25/pdfs/GMD-1803-24.pdf#page=8","Abrir facsímil")</f>
        <v>Abrir facsímil</v>
      </c>
      <c r="K3399" s="15" t="s">
        <v>23</v>
      </c>
    </row>
    <row r="3400" spans="1:11" ht="42" customHeight="1">
      <c r="A3400" s="4" t="s">
        <v>8477</v>
      </c>
      <c r="B3400" s="5" t="s">
        <v>8478</v>
      </c>
      <c r="C3400" s="5" t="s">
        <v>26</v>
      </c>
      <c r="D3400" s="5" t="s">
        <v>27</v>
      </c>
      <c r="E3400" s="5" t="s">
        <v>47</v>
      </c>
      <c r="F3400" s="9">
        <v>33</v>
      </c>
      <c r="G3400" s="9">
        <v>349</v>
      </c>
      <c r="H3400" s="5" t="s">
        <v>21</v>
      </c>
      <c r="I3400" s="5" t="s">
        <v>8479</v>
      </c>
      <c r="J3400" s="12" t="str">
        <f>HYPERLINK("https://www.boe.es/gazeta/dias/1803/04/26/pdfs/GMD-1803-33.pdf#page=9","Abrir facsímil")</f>
        <v>Abrir facsímil</v>
      </c>
      <c r="K3400" s="15" t="s">
        <v>23</v>
      </c>
    </row>
    <row r="3401" spans="1:11" ht="42" customHeight="1">
      <c r="A3401" s="4" t="s">
        <v>8480</v>
      </c>
      <c r="B3401" s="5" t="s">
        <v>8481</v>
      </c>
      <c r="C3401" s="5" t="s">
        <v>46</v>
      </c>
      <c r="D3401" s="5" t="s">
        <v>19</v>
      </c>
      <c r="E3401" s="5" t="s">
        <v>480</v>
      </c>
      <c r="F3401" s="9">
        <v>87</v>
      </c>
      <c r="G3401" s="9">
        <v>939</v>
      </c>
      <c r="H3401" s="5" t="s">
        <v>21</v>
      </c>
      <c r="I3401" s="5" t="s">
        <v>8482</v>
      </c>
      <c r="J3401" s="12" t="str">
        <f>HYPERLINK("https://www.boe.es/gazeta/dias/1803/10/28/pdfs/GMD-1803-87.pdf#page=7","Abrir facsímil")</f>
        <v>Abrir facsímil</v>
      </c>
      <c r="K3401" s="15" t="s">
        <v>23</v>
      </c>
    </row>
    <row r="3402" spans="1:11" ht="42" customHeight="1">
      <c r="A3402" s="4" t="s">
        <v>8483</v>
      </c>
      <c r="B3402" s="5" t="s">
        <v>8484</v>
      </c>
      <c r="C3402" s="5" t="s">
        <v>26</v>
      </c>
      <c r="D3402" s="5" t="s">
        <v>27</v>
      </c>
      <c r="E3402" s="5" t="s">
        <v>501</v>
      </c>
      <c r="F3402" s="9">
        <v>22</v>
      </c>
      <c r="G3402" s="9">
        <v>237</v>
      </c>
      <c r="H3402" s="5" t="s">
        <v>21</v>
      </c>
      <c r="I3402" s="5" t="s">
        <v>8485</v>
      </c>
      <c r="J3402" s="12" t="str">
        <f>HYPERLINK("https://www.boe.es/gazeta/dias/1803/03/18/pdfs/GMD-1803-22.pdf#page=9","Abrir facsímil")</f>
        <v>Abrir facsímil</v>
      </c>
      <c r="K3402" s="15" t="s">
        <v>23</v>
      </c>
    </row>
    <row r="3403" spans="1:11" ht="42" customHeight="1">
      <c r="A3403" s="4" t="s">
        <v>8486</v>
      </c>
      <c r="B3403" s="5" t="s">
        <v>8487</v>
      </c>
      <c r="C3403" s="5" t="s">
        <v>51</v>
      </c>
      <c r="D3403" s="5" t="s">
        <v>52</v>
      </c>
      <c r="E3403" s="5" t="s">
        <v>148</v>
      </c>
      <c r="F3403" s="9">
        <v>15</v>
      </c>
      <c r="G3403" s="9">
        <v>157</v>
      </c>
      <c r="H3403" s="5" t="s">
        <v>21</v>
      </c>
      <c r="I3403" s="5" t="s">
        <v>8488</v>
      </c>
      <c r="J3403" s="12" t="str">
        <f>HYPERLINK("https://www.boe.es/gazeta/dias/1803/02/22/pdfs/GMD-1803-15.pdf#page=9","Abrir facsímil")</f>
        <v>Abrir facsímil</v>
      </c>
      <c r="K3403" s="15" t="s">
        <v>23</v>
      </c>
    </row>
    <row r="3404" spans="1:11" ht="42" customHeight="1">
      <c r="A3404" s="4" t="s">
        <v>8489</v>
      </c>
      <c r="B3404" s="5" t="s">
        <v>8490</v>
      </c>
      <c r="C3404" s="5" t="s">
        <v>26</v>
      </c>
      <c r="D3404" s="5" t="s">
        <v>27</v>
      </c>
      <c r="E3404" s="5" t="s">
        <v>132</v>
      </c>
      <c r="F3404" s="9">
        <v>58</v>
      </c>
      <c r="G3404" s="9">
        <v>638</v>
      </c>
      <c r="H3404" s="5" t="s">
        <v>21</v>
      </c>
      <c r="I3404" s="5" t="s">
        <v>8491</v>
      </c>
      <c r="J3404" s="12" t="str">
        <f>HYPERLINK("https://www.boe.es/gazeta/dias/1803/07/22/pdfs/GMD-1803-58.pdf#page=10","Abrir facsímil")</f>
        <v>Abrir facsímil</v>
      </c>
      <c r="K3404" s="15" t="s">
        <v>23</v>
      </c>
    </row>
    <row r="3405" spans="1:11" ht="42" customHeight="1">
      <c r="A3405" s="4" t="s">
        <v>8492</v>
      </c>
      <c r="B3405" s="5" t="s">
        <v>8493</v>
      </c>
      <c r="C3405" s="5" t="s">
        <v>26</v>
      </c>
      <c r="D3405" s="5" t="s">
        <v>27</v>
      </c>
      <c r="E3405" s="5" t="s">
        <v>61</v>
      </c>
      <c r="F3405" s="9">
        <v>67</v>
      </c>
      <c r="G3405" s="9">
        <v>730</v>
      </c>
      <c r="H3405" s="5" t="s">
        <v>21</v>
      </c>
      <c r="I3405" s="5" t="s">
        <v>8494</v>
      </c>
      <c r="J3405" s="12" t="str">
        <f>HYPERLINK("https://www.boe.es/gazeta/dias/1803/08/23/pdfs/GMD-1803-67.pdf#page=10","Abrir facsímil")</f>
        <v>Abrir facsímil</v>
      </c>
      <c r="K3405" s="15" t="s">
        <v>23</v>
      </c>
    </row>
    <row r="3406" spans="1:11" ht="42" customHeight="1">
      <c r="A3406" s="4" t="s">
        <v>8495</v>
      </c>
      <c r="B3406" s="5" t="s">
        <v>8496</v>
      </c>
      <c r="C3406" s="5" t="s">
        <v>40</v>
      </c>
      <c r="D3406" s="5" t="s">
        <v>41</v>
      </c>
      <c r="E3406" s="5" t="s">
        <v>152</v>
      </c>
      <c r="F3406" s="9">
        <v>16</v>
      </c>
      <c r="G3406" s="9">
        <v>162</v>
      </c>
      <c r="H3406" s="5" t="s">
        <v>21</v>
      </c>
      <c r="I3406" s="5" t="s">
        <v>8497</v>
      </c>
      <c r="J3406" s="12" t="str">
        <f>HYPERLINK("https://www.boe.es/gazeta/dias/1803/02/25/pdfs/GMD-1803-16.pdf#page=2","Abrir facsímil")</f>
        <v>Abrir facsímil</v>
      </c>
      <c r="K3406" s="15" t="s">
        <v>23</v>
      </c>
    </row>
    <row r="3407" spans="1:11" ht="42" customHeight="1">
      <c r="A3407" s="4" t="s">
        <v>8498</v>
      </c>
      <c r="B3407" s="5" t="s">
        <v>8499</v>
      </c>
      <c r="C3407" s="5" t="s">
        <v>40</v>
      </c>
      <c r="D3407" s="5" t="s">
        <v>41</v>
      </c>
      <c r="E3407" s="5" t="s">
        <v>332</v>
      </c>
      <c r="F3407" s="9">
        <v>11</v>
      </c>
      <c r="G3407" s="9">
        <v>106</v>
      </c>
      <c r="H3407" s="5" t="s">
        <v>21</v>
      </c>
      <c r="I3407" s="5" t="s">
        <v>8500</v>
      </c>
      <c r="J3407" s="12" t="str">
        <f>HYPERLINK("https://www.boe.es/gazeta/dias/1803/02/08/pdfs/GMD-1803-11.pdf#page=2","Abrir facsímil")</f>
        <v>Abrir facsímil</v>
      </c>
      <c r="K3407" s="15" t="s">
        <v>23</v>
      </c>
    </row>
    <row r="3408" spans="1:11" ht="42" customHeight="1">
      <c r="A3408" s="4" t="s">
        <v>8501</v>
      </c>
      <c r="B3408" s="5" t="s">
        <v>8502</v>
      </c>
      <c r="C3408" s="5" t="s">
        <v>51</v>
      </c>
      <c r="D3408" s="5" t="s">
        <v>52</v>
      </c>
      <c r="E3408" s="5" t="s">
        <v>156</v>
      </c>
      <c r="F3408" s="9">
        <v>2</v>
      </c>
      <c r="G3408" s="9">
        <v>11</v>
      </c>
      <c r="H3408" s="5" t="s">
        <v>21</v>
      </c>
      <c r="I3408" s="5" t="s">
        <v>8503</v>
      </c>
      <c r="J3408" s="12" t="str">
        <f>HYPERLINK("https://www.boe.es/gazeta/dias/1803/01/07/pdfs/GMD-1803-2.pdf#page=3","Abrir facsímil")</f>
        <v>Abrir facsímil</v>
      </c>
      <c r="K3408" s="15" t="s">
        <v>23</v>
      </c>
    </row>
    <row r="3409" spans="1:11" ht="42" customHeight="1">
      <c r="A3409" s="4" t="s">
        <v>8504</v>
      </c>
      <c r="B3409" s="5" t="s">
        <v>8505</v>
      </c>
      <c r="C3409" s="5" t="s">
        <v>46</v>
      </c>
      <c r="D3409" s="5" t="s">
        <v>19</v>
      </c>
      <c r="E3409" s="5" t="s">
        <v>174</v>
      </c>
      <c r="F3409" s="9">
        <v>21</v>
      </c>
      <c r="G3409" s="9">
        <v>227</v>
      </c>
      <c r="H3409" s="5" t="s">
        <v>21</v>
      </c>
      <c r="I3409" s="5" t="s">
        <v>8506</v>
      </c>
      <c r="J3409" s="12" t="str">
        <f>HYPERLINK("https://www.boe.es/gazeta/dias/1803/03/15/pdfs/GMD-1803-21.pdf#page=11","Abrir facsímil")</f>
        <v>Abrir facsímil</v>
      </c>
      <c r="K3409" s="15" t="s">
        <v>23</v>
      </c>
    </row>
    <row r="3410" spans="1:11" ht="42" customHeight="1">
      <c r="A3410" s="4" t="s">
        <v>8507</v>
      </c>
      <c r="B3410" s="5" t="s">
        <v>8508</v>
      </c>
      <c r="C3410" s="5" t="s">
        <v>26</v>
      </c>
      <c r="D3410" s="5" t="s">
        <v>27</v>
      </c>
      <c r="E3410" s="5" t="s">
        <v>496</v>
      </c>
      <c r="F3410" s="9">
        <v>90</v>
      </c>
      <c r="G3410" s="9">
        <v>966</v>
      </c>
      <c r="H3410" s="5" t="s">
        <v>21</v>
      </c>
      <c r="I3410" s="5" t="s">
        <v>8509</v>
      </c>
      <c r="J3410" s="12" t="str">
        <f>HYPERLINK("https://www.boe.es/gazeta/dias/1803/11/08/pdfs/GMD-1803-90.pdf#page=6","Abrir facsímil")</f>
        <v>Abrir facsímil</v>
      </c>
      <c r="K3410" s="15" t="s">
        <v>23</v>
      </c>
    </row>
    <row r="3411" spans="1:11" ht="42" customHeight="1">
      <c r="A3411" s="4" t="s">
        <v>8510</v>
      </c>
      <c r="B3411" s="5" t="s">
        <v>8510</v>
      </c>
      <c r="C3411" s="5" t="s">
        <v>26</v>
      </c>
      <c r="D3411" s="5" t="s">
        <v>27</v>
      </c>
      <c r="E3411" s="5" t="s">
        <v>389</v>
      </c>
      <c r="F3411" s="9">
        <v>41</v>
      </c>
      <c r="G3411" s="9">
        <v>428</v>
      </c>
      <c r="H3411" s="5" t="s">
        <v>21</v>
      </c>
      <c r="I3411" s="5" t="s">
        <v>8511</v>
      </c>
      <c r="J3411" s="12" t="str">
        <f>HYPERLINK("https://www.boe.es/gazeta/dias/1803/05/24/pdfs/GMD-1803-41.pdf#page=4","Abrir facsímil")</f>
        <v>Abrir facsímil</v>
      </c>
      <c r="K3411" s="15" t="s">
        <v>23</v>
      </c>
    </row>
    <row r="3412" spans="1:11" ht="42" customHeight="1">
      <c r="A3412" s="4" t="s">
        <v>8512</v>
      </c>
      <c r="B3412" s="5" t="s">
        <v>8513</v>
      </c>
      <c r="C3412" s="5" t="s">
        <v>26</v>
      </c>
      <c r="D3412" s="5" t="s">
        <v>27</v>
      </c>
      <c r="E3412" s="5" t="s">
        <v>61</v>
      </c>
      <c r="F3412" s="9">
        <v>67</v>
      </c>
      <c r="G3412" s="9">
        <v>730</v>
      </c>
      <c r="H3412" s="5" t="s">
        <v>21</v>
      </c>
      <c r="I3412" s="5" t="s">
        <v>8514</v>
      </c>
      <c r="J3412" s="12" t="str">
        <f>HYPERLINK("https://www.boe.es/gazeta/dias/1803/08/23/pdfs/GMD-1803-67.pdf#page=10","Abrir facsímil")</f>
        <v>Abrir facsímil</v>
      </c>
      <c r="K3412" s="15" t="s">
        <v>23</v>
      </c>
    </row>
    <row r="3413" spans="1:11" ht="42" customHeight="1">
      <c r="A3413" s="4" t="s">
        <v>8515</v>
      </c>
      <c r="B3413" s="5" t="s">
        <v>8516</v>
      </c>
      <c r="C3413" s="5" t="s">
        <v>51</v>
      </c>
      <c r="D3413" s="5" t="s">
        <v>52</v>
      </c>
      <c r="E3413" s="5" t="s">
        <v>189</v>
      </c>
      <c r="F3413" s="9">
        <v>9</v>
      </c>
      <c r="G3413" s="9">
        <v>93</v>
      </c>
      <c r="H3413" s="5" t="s">
        <v>21</v>
      </c>
      <c r="I3413" s="5" t="s">
        <v>8517</v>
      </c>
      <c r="J3413" s="12" t="str">
        <f>HYPERLINK("https://www.boe.es/gazeta/dias/1803/02/01/pdfs/GMD-1803-9.pdf#page=9","Abrir facsímil")</f>
        <v>Abrir facsímil</v>
      </c>
      <c r="K3413" s="15" t="s">
        <v>23</v>
      </c>
    </row>
    <row r="3414" spans="1:11" ht="42" customHeight="1">
      <c r="A3414" s="4" t="s">
        <v>8518</v>
      </c>
      <c r="B3414" s="5" t="s">
        <v>8519</v>
      </c>
      <c r="C3414" s="5" t="s">
        <v>46</v>
      </c>
      <c r="D3414" s="5" t="s">
        <v>19</v>
      </c>
      <c r="E3414" s="5" t="s">
        <v>199</v>
      </c>
      <c r="F3414" s="9">
        <v>88</v>
      </c>
      <c r="G3414" s="9">
        <v>948</v>
      </c>
      <c r="H3414" s="5" t="s">
        <v>21</v>
      </c>
      <c r="I3414" s="5" t="s">
        <v>8520</v>
      </c>
      <c r="J3414" s="12" t="str">
        <f>HYPERLINK("https://www.boe.es/gazeta/dias/1803/11/01/pdfs/GMD-1803-88.pdf#page=8","Abrir facsímil")</f>
        <v>Abrir facsímil</v>
      </c>
      <c r="K3414" s="15" t="s">
        <v>23</v>
      </c>
    </row>
    <row r="3415" spans="1:11" ht="42" customHeight="1">
      <c r="A3415" s="4" t="s">
        <v>8521</v>
      </c>
      <c r="B3415" s="5" t="s">
        <v>8522</v>
      </c>
      <c r="C3415" s="5" t="s">
        <v>40</v>
      </c>
      <c r="D3415" s="5" t="s">
        <v>41</v>
      </c>
      <c r="E3415" s="5" t="s">
        <v>124</v>
      </c>
      <c r="F3415" s="9">
        <v>20</v>
      </c>
      <c r="G3415" s="9">
        <v>209</v>
      </c>
      <c r="H3415" s="5" t="s">
        <v>21</v>
      </c>
      <c r="I3415" s="5" t="s">
        <v>8523</v>
      </c>
      <c r="J3415" s="12" t="str">
        <f>HYPERLINK("https://www.boe.es/gazeta/dias/1803/03/11/pdfs/GMD-1803-20.pdf#page=5","Abrir facsímil")</f>
        <v>Abrir facsímil</v>
      </c>
      <c r="K3415" s="15" t="s">
        <v>23</v>
      </c>
    </row>
    <row r="3416" spans="1:11" ht="42" customHeight="1">
      <c r="A3416" s="4" t="s">
        <v>8524</v>
      </c>
      <c r="B3416" s="5" t="s">
        <v>8525</v>
      </c>
      <c r="C3416" s="5" t="s">
        <v>80</v>
      </c>
      <c r="D3416" s="5" t="s">
        <v>81</v>
      </c>
      <c r="E3416" s="5" t="s">
        <v>138</v>
      </c>
      <c r="F3416" s="9">
        <v>68</v>
      </c>
      <c r="G3416" s="9">
        <v>744</v>
      </c>
      <c r="H3416" s="5" t="s">
        <v>21</v>
      </c>
      <c r="I3416" s="5" t="s">
        <v>8526</v>
      </c>
      <c r="J3416" s="12" t="str">
        <f>HYPERLINK("https://www.boe.es/gazeta/dias/1803/08/26/pdfs/GMD-1803-68.pdf#page=12","Abrir facsímil")</f>
        <v>Abrir facsímil</v>
      </c>
      <c r="K3416" s="15" t="s">
        <v>23</v>
      </c>
    </row>
    <row r="3417" spans="1:11" ht="42" customHeight="1">
      <c r="A3417" s="4" t="s">
        <v>8527</v>
      </c>
      <c r="B3417" s="5" t="s">
        <v>8527</v>
      </c>
      <c r="C3417" s="5" t="s">
        <v>80</v>
      </c>
      <c r="D3417" s="5" t="s">
        <v>81</v>
      </c>
      <c r="E3417" s="5" t="s">
        <v>156</v>
      </c>
      <c r="F3417" s="9">
        <v>2</v>
      </c>
      <c r="G3417" s="9">
        <v>20</v>
      </c>
      <c r="H3417" s="5" t="s">
        <v>21</v>
      </c>
      <c r="I3417" s="5" t="s">
        <v>8528</v>
      </c>
      <c r="J3417" s="12" t="str">
        <f>HYPERLINK("https://www.boe.es/gazeta/dias/1803/01/07/pdfs/GMD-1803-2.pdf#page=12","Abrir facsímil")</f>
        <v>Abrir facsímil</v>
      </c>
      <c r="K3417" s="15" t="s">
        <v>23</v>
      </c>
    </row>
    <row r="3418" spans="1:11" ht="42" customHeight="1">
      <c r="A3418" s="4" t="s">
        <v>8529</v>
      </c>
      <c r="B3418" s="5" t="s">
        <v>8530</v>
      </c>
      <c r="C3418" s="5" t="s">
        <v>46</v>
      </c>
      <c r="D3418" s="5" t="s">
        <v>19</v>
      </c>
      <c r="E3418" s="5" t="s">
        <v>117</v>
      </c>
      <c r="F3418" s="9">
        <v>59</v>
      </c>
      <c r="G3418" s="9">
        <v>646</v>
      </c>
      <c r="H3418" s="5" t="s">
        <v>21</v>
      </c>
      <c r="I3418" s="5" t="s">
        <v>8531</v>
      </c>
      <c r="J3418" s="12" t="str">
        <f>HYPERLINK("https://www.boe.es/gazeta/dias/1803/07/26/pdfs/GMD-1803-59.pdf#page=6","Abrir facsímil")</f>
        <v>Abrir facsímil</v>
      </c>
      <c r="K3418" s="15" t="s">
        <v>23</v>
      </c>
    </row>
    <row r="3419" spans="1:11" ht="42" customHeight="1">
      <c r="A3419" s="4" t="s">
        <v>8532</v>
      </c>
      <c r="B3419" s="5" t="s">
        <v>8533</v>
      </c>
      <c r="C3419" s="5" t="s">
        <v>26</v>
      </c>
      <c r="D3419" s="5" t="s">
        <v>27</v>
      </c>
      <c r="E3419" s="5" t="s">
        <v>571</v>
      </c>
      <c r="F3419" s="9">
        <v>103</v>
      </c>
      <c r="G3419" s="9">
        <v>1105</v>
      </c>
      <c r="H3419" s="5" t="s">
        <v>21</v>
      </c>
      <c r="I3419" s="5" t="s">
        <v>8534</v>
      </c>
      <c r="J3419" s="12" t="str">
        <f>HYPERLINK("https://www.boe.es/gazeta/dias/1803/12/23/pdfs/GMD-1803-103.pdf#page=5","Abrir facsímil")</f>
        <v>Abrir facsímil</v>
      </c>
      <c r="K3419" s="15" t="s">
        <v>23</v>
      </c>
    </row>
    <row r="3420" spans="1:11" ht="42" customHeight="1">
      <c r="A3420" s="4" t="s">
        <v>8535</v>
      </c>
      <c r="B3420" s="5" t="s">
        <v>8536</v>
      </c>
      <c r="C3420" s="5" t="s">
        <v>80</v>
      </c>
      <c r="D3420" s="5" t="s">
        <v>81</v>
      </c>
      <c r="E3420" s="5" t="s">
        <v>477</v>
      </c>
      <c r="F3420" s="9">
        <v>48</v>
      </c>
      <c r="G3420" s="9">
        <v>511</v>
      </c>
      <c r="H3420" s="5" t="s">
        <v>21</v>
      </c>
      <c r="I3420" s="5" t="s">
        <v>8537</v>
      </c>
      <c r="J3420" s="12" t="str">
        <f>HYPERLINK("https://www.boe.es/gazeta/dias/1803/06/17/pdfs/GMD-1803-48.pdf#page=11","Abrir facsímil")</f>
        <v>Abrir facsímil</v>
      </c>
      <c r="K3420" s="15" t="s">
        <v>23</v>
      </c>
    </row>
    <row r="3421" spans="1:11" ht="42" customHeight="1">
      <c r="A3421" s="4" t="s">
        <v>8538</v>
      </c>
      <c r="B3421" s="5" t="s">
        <v>8538</v>
      </c>
      <c r="C3421" s="5" t="s">
        <v>26</v>
      </c>
      <c r="D3421" s="5" t="s">
        <v>27</v>
      </c>
      <c r="E3421" s="5" t="s">
        <v>68</v>
      </c>
      <c r="F3421" s="9">
        <v>23</v>
      </c>
      <c r="G3421" s="9">
        <v>243</v>
      </c>
      <c r="H3421" s="5" t="s">
        <v>21</v>
      </c>
      <c r="I3421" s="5" t="s">
        <v>8539</v>
      </c>
      <c r="J3421" s="12" t="str">
        <f>HYPERLINK("https://www.boe.es/gazeta/dias/1803/03/22/pdfs/GMD-1803-23.pdf#page=3","Abrir facsímil")</f>
        <v>Abrir facsímil</v>
      </c>
      <c r="K3421" s="15" t="s">
        <v>23</v>
      </c>
    </row>
    <row r="3422" spans="1:11" ht="42" customHeight="1">
      <c r="A3422" s="4" t="s">
        <v>8540</v>
      </c>
      <c r="B3422" s="5" t="s">
        <v>8540</v>
      </c>
      <c r="C3422" s="5" t="s">
        <v>26</v>
      </c>
      <c r="D3422" s="5" t="s">
        <v>27</v>
      </c>
      <c r="E3422" s="5" t="s">
        <v>571</v>
      </c>
      <c r="F3422" s="9">
        <v>103</v>
      </c>
      <c r="G3422" s="9">
        <v>1102</v>
      </c>
      <c r="H3422" s="5" t="s">
        <v>21</v>
      </c>
      <c r="I3422" s="5" t="s">
        <v>8541</v>
      </c>
      <c r="J3422" s="12" t="str">
        <f>HYPERLINK("https://www.boe.es/gazeta/dias/1803/12/23/pdfs/GMD-1803-103.pdf#page=2","Abrir facsímil")</f>
        <v>Abrir facsímil</v>
      </c>
      <c r="K3422" s="15" t="s">
        <v>23</v>
      </c>
    </row>
    <row r="3423" spans="1:11" ht="42" customHeight="1">
      <c r="A3423" s="4" t="s">
        <v>8542</v>
      </c>
      <c r="B3423" s="5" t="s">
        <v>8543</v>
      </c>
      <c r="C3423" s="5" t="s">
        <v>26</v>
      </c>
      <c r="D3423" s="5" t="s">
        <v>27</v>
      </c>
      <c r="E3423" s="5" t="s">
        <v>514</v>
      </c>
      <c r="F3423" s="9">
        <v>42</v>
      </c>
      <c r="G3423" s="9">
        <v>439</v>
      </c>
      <c r="H3423" s="5" t="s">
        <v>21</v>
      </c>
      <c r="I3423" s="5" t="s">
        <v>8544</v>
      </c>
      <c r="J3423" s="12" t="str">
        <f>HYPERLINK("https://www.boe.es/gazeta/dias/1803/05/27/pdfs/GMD-1803-42.pdf#page=7","Abrir facsímil")</f>
        <v>Abrir facsímil</v>
      </c>
      <c r="K3423" s="15" t="s">
        <v>23</v>
      </c>
    </row>
    <row r="3424" spans="1:11" ht="42" customHeight="1">
      <c r="A3424" s="4" t="s">
        <v>8545</v>
      </c>
      <c r="B3424" s="5" t="s">
        <v>8545</v>
      </c>
      <c r="C3424" s="5" t="s">
        <v>26</v>
      </c>
      <c r="D3424" s="5" t="s">
        <v>27</v>
      </c>
      <c r="E3424" s="5" t="s">
        <v>152</v>
      </c>
      <c r="F3424" s="9">
        <v>16</v>
      </c>
      <c r="G3424" s="9">
        <v>167</v>
      </c>
      <c r="H3424" s="5" t="s">
        <v>21</v>
      </c>
      <c r="I3424" s="5" t="s">
        <v>8546</v>
      </c>
      <c r="J3424" s="12" t="str">
        <f>HYPERLINK("https://www.boe.es/gazeta/dias/1803/02/25/pdfs/GMD-1803-16.pdf#page=7","Abrir facsímil")</f>
        <v>Abrir facsímil</v>
      </c>
      <c r="K3424" s="15" t="s">
        <v>23</v>
      </c>
    </row>
    <row r="3425" spans="1:11" ht="42" customHeight="1">
      <c r="A3425" s="4" t="s">
        <v>8545</v>
      </c>
      <c r="B3425" s="5" t="s">
        <v>8545</v>
      </c>
      <c r="C3425" s="5" t="s">
        <v>51</v>
      </c>
      <c r="D3425" s="5" t="s">
        <v>52</v>
      </c>
      <c r="E3425" s="5" t="s">
        <v>1915</v>
      </c>
      <c r="F3425" s="9">
        <v>44</v>
      </c>
      <c r="G3425" s="9">
        <v>459</v>
      </c>
      <c r="H3425" s="5" t="s">
        <v>21</v>
      </c>
      <c r="I3425" s="5" t="s">
        <v>8547</v>
      </c>
      <c r="J3425" s="12" t="str">
        <f>HYPERLINK("https://www.boe.es/gazeta/dias/1803/06/03/pdfs/GMD-1803-44.pdf#page=7","Abrir facsímil")</f>
        <v>Abrir facsímil</v>
      </c>
      <c r="K3425" s="15" t="s">
        <v>23</v>
      </c>
    </row>
    <row r="3426" spans="1:11" ht="42" customHeight="1">
      <c r="A3426" s="4" t="s">
        <v>8548</v>
      </c>
      <c r="B3426" s="5" t="s">
        <v>8549</v>
      </c>
      <c r="C3426" s="5" t="s">
        <v>51</v>
      </c>
      <c r="D3426" s="5" t="s">
        <v>52</v>
      </c>
      <c r="E3426" s="5" t="s">
        <v>514</v>
      </c>
      <c r="F3426" s="9">
        <v>42</v>
      </c>
      <c r="G3426" s="9">
        <v>439</v>
      </c>
      <c r="H3426" s="5" t="s">
        <v>21</v>
      </c>
      <c r="I3426" s="5" t="s">
        <v>8550</v>
      </c>
      <c r="J3426" s="12" t="str">
        <f>HYPERLINK("https://www.boe.es/gazeta/dias/1803/05/27/pdfs/GMD-1803-42.pdf#page=7","Abrir facsímil")</f>
        <v>Abrir facsímil</v>
      </c>
      <c r="K3426" s="15" t="s">
        <v>23</v>
      </c>
    </row>
    <row r="3427" spans="1:11" ht="42" customHeight="1">
      <c r="A3427" s="4" t="s">
        <v>8551</v>
      </c>
      <c r="B3427" s="5" t="s">
        <v>8552</v>
      </c>
      <c r="C3427" s="5" t="s">
        <v>51</v>
      </c>
      <c r="D3427" s="5" t="s">
        <v>52</v>
      </c>
      <c r="E3427" s="5" t="s">
        <v>71</v>
      </c>
      <c r="F3427" s="9">
        <v>39</v>
      </c>
      <c r="G3427" s="9">
        <v>413</v>
      </c>
      <c r="H3427" s="5" t="s">
        <v>21</v>
      </c>
      <c r="I3427" s="5" t="s">
        <v>8553</v>
      </c>
      <c r="J3427" s="12" t="str">
        <f>HYPERLINK("https://www.boe.es/gazeta/dias/1803/05/17/pdfs/GMD-1803-39.pdf#page=9","Abrir facsímil")</f>
        <v>Abrir facsímil</v>
      </c>
      <c r="K3427" s="15" t="s">
        <v>23</v>
      </c>
    </row>
    <row r="3428" spans="1:11" ht="42" customHeight="1">
      <c r="A3428" s="4" t="s">
        <v>8554</v>
      </c>
      <c r="B3428" s="5" t="s">
        <v>8555</v>
      </c>
      <c r="C3428" s="5" t="s">
        <v>26</v>
      </c>
      <c r="D3428" s="5" t="s">
        <v>27</v>
      </c>
      <c r="E3428" s="5" t="s">
        <v>199</v>
      </c>
      <c r="F3428" s="9">
        <v>88</v>
      </c>
      <c r="G3428" s="9">
        <v>947</v>
      </c>
      <c r="H3428" s="5" t="s">
        <v>21</v>
      </c>
      <c r="I3428" s="5" t="s">
        <v>8556</v>
      </c>
      <c r="J3428" s="12" t="str">
        <f>HYPERLINK("https://www.boe.es/gazeta/dias/1803/11/01/pdfs/GMD-1803-88.pdf#page=7","Abrir facsímil")</f>
        <v>Abrir facsímil</v>
      </c>
      <c r="K3428" s="15" t="s">
        <v>23</v>
      </c>
    </row>
    <row r="3429" spans="1:11" ht="42" customHeight="1">
      <c r="A3429" s="4" t="s">
        <v>8557</v>
      </c>
      <c r="B3429" s="5" t="s">
        <v>8558</v>
      </c>
      <c r="C3429" s="5" t="s">
        <v>51</v>
      </c>
      <c r="D3429" s="5" t="s">
        <v>52</v>
      </c>
      <c r="E3429" s="5" t="s">
        <v>152</v>
      </c>
      <c r="F3429" s="9">
        <v>16</v>
      </c>
      <c r="G3429" s="9">
        <v>166</v>
      </c>
      <c r="H3429" s="5" t="s">
        <v>21</v>
      </c>
      <c r="I3429" s="5" t="s">
        <v>8559</v>
      </c>
      <c r="J3429" s="12" t="str">
        <f>HYPERLINK("https://www.boe.es/gazeta/dias/1803/02/25/pdfs/GMD-1803-16.pdf#page=6","Abrir facsímil")</f>
        <v>Abrir facsímil</v>
      </c>
      <c r="K3429" s="15" t="s">
        <v>23</v>
      </c>
    </row>
    <row r="3430" spans="1:11" ht="42" customHeight="1">
      <c r="A3430" s="4" t="s">
        <v>8560</v>
      </c>
      <c r="B3430" s="5" t="s">
        <v>8561</v>
      </c>
      <c r="C3430" s="5" t="s">
        <v>40</v>
      </c>
      <c r="D3430" s="5" t="s">
        <v>41</v>
      </c>
      <c r="E3430" s="5" t="s">
        <v>373</v>
      </c>
      <c r="F3430" s="9">
        <v>77</v>
      </c>
      <c r="G3430" s="9">
        <v>832</v>
      </c>
      <c r="H3430" s="5" t="s">
        <v>21</v>
      </c>
      <c r="I3430" s="5" t="s">
        <v>8562</v>
      </c>
      <c r="J3430" s="12" t="str">
        <f>HYPERLINK("https://www.boe.es/gazeta/dias/1803/09/23/pdfs/GMD-1803-77.pdf#page=8","Abrir facsímil")</f>
        <v>Abrir facsímil</v>
      </c>
      <c r="K3430" s="15" t="s">
        <v>23</v>
      </c>
    </row>
    <row r="3431" spans="1:11" ht="42" customHeight="1">
      <c r="A3431" s="4" t="s">
        <v>8563</v>
      </c>
      <c r="B3431" s="5" t="s">
        <v>8564</v>
      </c>
      <c r="C3431" s="5" t="s">
        <v>26</v>
      </c>
      <c r="D3431" s="5" t="s">
        <v>27</v>
      </c>
      <c r="E3431" s="5" t="s">
        <v>1279</v>
      </c>
      <c r="F3431" s="9">
        <v>3</v>
      </c>
      <c r="G3431" s="9">
        <v>28</v>
      </c>
      <c r="H3431" s="5" t="s">
        <v>21</v>
      </c>
      <c r="I3431" s="5" t="s">
        <v>8565</v>
      </c>
      <c r="J3431" s="12" t="str">
        <f>HYPERLINK("https://www.boe.es/gazeta/dias/1803/01/11/pdfs/GMD-1803-3.pdf#page=8","Abrir facsímil")</f>
        <v>Abrir facsímil</v>
      </c>
      <c r="K3431" s="15" t="s">
        <v>23</v>
      </c>
    </row>
    <row r="3432" spans="1:11" ht="42" customHeight="1">
      <c r="A3432" s="4" t="s">
        <v>8566</v>
      </c>
      <c r="B3432" s="5" t="s">
        <v>8567</v>
      </c>
      <c r="C3432" s="5" t="s">
        <v>51</v>
      </c>
      <c r="D3432" s="5" t="s">
        <v>52</v>
      </c>
      <c r="E3432" s="5" t="s">
        <v>189</v>
      </c>
      <c r="F3432" s="9">
        <v>9</v>
      </c>
      <c r="G3432" s="9">
        <v>93</v>
      </c>
      <c r="H3432" s="5" t="s">
        <v>21</v>
      </c>
      <c r="I3432" s="5" t="s">
        <v>8568</v>
      </c>
      <c r="J3432" s="12" t="str">
        <f>HYPERLINK("https://www.boe.es/gazeta/dias/1803/02/01/pdfs/GMD-1803-9.pdf#page=9","Abrir facsímil")</f>
        <v>Abrir facsímil</v>
      </c>
      <c r="K3432" s="15" t="s">
        <v>23</v>
      </c>
    </row>
    <row r="3433" spans="1:11" ht="42" customHeight="1">
      <c r="A3433" s="4" t="s">
        <v>8569</v>
      </c>
      <c r="B3433" s="5" t="s">
        <v>8570</v>
      </c>
      <c r="C3433" s="5" t="s">
        <v>51</v>
      </c>
      <c r="D3433" s="5" t="s">
        <v>52</v>
      </c>
      <c r="E3433" s="5" t="s">
        <v>919</v>
      </c>
      <c r="F3433" s="9">
        <v>69</v>
      </c>
      <c r="G3433" s="9">
        <v>750</v>
      </c>
      <c r="H3433" s="5" t="s">
        <v>21</v>
      </c>
      <c r="I3433" s="5" t="s">
        <v>8571</v>
      </c>
      <c r="J3433" s="12" t="str">
        <f>HYPERLINK("https://www.boe.es/gazeta/dias/1803/08/30/pdfs/GMD-1803-69.pdf#page=6","Abrir facsímil")</f>
        <v>Abrir facsímil</v>
      </c>
      <c r="K3433" s="15" t="s">
        <v>23</v>
      </c>
    </row>
    <row r="3434" spans="1:11" ht="42" customHeight="1">
      <c r="A3434" s="4" t="s">
        <v>8572</v>
      </c>
      <c r="B3434" s="5" t="s">
        <v>8573</v>
      </c>
      <c r="C3434" s="5" t="s">
        <v>26</v>
      </c>
      <c r="D3434" s="5" t="s">
        <v>27</v>
      </c>
      <c r="E3434" s="5" t="s">
        <v>132</v>
      </c>
      <c r="F3434" s="9">
        <v>58</v>
      </c>
      <c r="G3434" s="9">
        <v>639</v>
      </c>
      <c r="H3434" s="5" t="s">
        <v>21</v>
      </c>
      <c r="I3434" s="5" t="s">
        <v>8574</v>
      </c>
      <c r="J3434" s="12" t="str">
        <f>HYPERLINK("https://www.boe.es/gazeta/dias/1803/07/22/pdfs/GMD-1803-58.pdf#page=11","Abrir facsímil")</f>
        <v>Abrir facsímil</v>
      </c>
      <c r="K3434" s="15" t="s">
        <v>23</v>
      </c>
    </row>
    <row r="3435" spans="1:11" ht="42" customHeight="1">
      <c r="A3435" s="4" t="s">
        <v>8575</v>
      </c>
      <c r="B3435" s="5" t="s">
        <v>8576</v>
      </c>
      <c r="C3435" s="5" t="s">
        <v>18</v>
      </c>
      <c r="D3435" s="5" t="s">
        <v>19</v>
      </c>
      <c r="E3435" s="5" t="s">
        <v>113</v>
      </c>
      <c r="F3435" s="9">
        <v>93</v>
      </c>
      <c r="G3435" s="9">
        <v>995</v>
      </c>
      <c r="H3435" s="5" t="s">
        <v>21</v>
      </c>
      <c r="I3435" s="5" t="s">
        <v>8577</v>
      </c>
      <c r="J3435" s="12" t="str">
        <f>HYPERLINK("https://www.boe.es/gazeta/dias/1803/11/18/pdfs/GMD-1803-93.pdf#page=7","Abrir facsímil")</f>
        <v>Abrir facsímil</v>
      </c>
      <c r="K3435" s="15" t="s">
        <v>23</v>
      </c>
    </row>
    <row r="3436" spans="1:11" ht="42" customHeight="1">
      <c r="A3436" s="4" t="s">
        <v>8578</v>
      </c>
      <c r="B3436" s="5" t="s">
        <v>8579</v>
      </c>
      <c r="C3436" s="5" t="s">
        <v>26</v>
      </c>
      <c r="D3436" s="5" t="s">
        <v>27</v>
      </c>
      <c r="E3436" s="5" t="s">
        <v>88</v>
      </c>
      <c r="F3436" s="9">
        <v>18</v>
      </c>
      <c r="G3436" s="9">
        <v>188</v>
      </c>
      <c r="H3436" s="5" t="s">
        <v>21</v>
      </c>
      <c r="I3436" s="5" t="s">
        <v>8580</v>
      </c>
      <c r="J3436" s="12" t="str">
        <f>HYPERLINK("https://www.boe.es/gazeta/dias/1803/03/04/pdfs/GMD-1803-18.pdf#page=8","Abrir facsímil")</f>
        <v>Abrir facsímil</v>
      </c>
      <c r="K3436" s="15" t="s">
        <v>23</v>
      </c>
    </row>
    <row r="3437" spans="1:11" ht="42" customHeight="1">
      <c r="A3437" s="4" t="s">
        <v>8581</v>
      </c>
      <c r="B3437" s="5" t="s">
        <v>8582</v>
      </c>
      <c r="C3437" s="5" t="s">
        <v>80</v>
      </c>
      <c r="D3437" s="5" t="s">
        <v>81</v>
      </c>
      <c r="E3437" s="5" t="s">
        <v>47</v>
      </c>
      <c r="F3437" s="9">
        <v>33</v>
      </c>
      <c r="G3437" s="9">
        <v>351</v>
      </c>
      <c r="H3437" s="5" t="s">
        <v>21</v>
      </c>
      <c r="I3437" s="5" t="s">
        <v>8583</v>
      </c>
      <c r="J3437" s="12" t="str">
        <f>HYPERLINK("https://www.boe.es/gazeta/dias/1803/04/26/pdfs/GMD-1803-33.pdf#page=11","Abrir facsímil")</f>
        <v>Abrir facsímil</v>
      </c>
      <c r="K3437" s="15" t="s">
        <v>23</v>
      </c>
    </row>
    <row r="3438" spans="1:11" ht="42" customHeight="1">
      <c r="A3438" s="4" t="s">
        <v>8584</v>
      </c>
      <c r="B3438" s="5" t="s">
        <v>8585</v>
      </c>
      <c r="C3438" s="5" t="s">
        <v>26</v>
      </c>
      <c r="D3438" s="5" t="s">
        <v>27</v>
      </c>
      <c r="E3438" s="5" t="s">
        <v>207</v>
      </c>
      <c r="F3438" s="9">
        <v>27</v>
      </c>
      <c r="G3438" s="9">
        <v>293</v>
      </c>
      <c r="H3438" s="5" t="s">
        <v>21</v>
      </c>
      <c r="I3438" s="5" t="s">
        <v>8586</v>
      </c>
      <c r="J3438" s="12" t="str">
        <f>HYPERLINK("https://www.boe.es/gazeta/dias/1803/04/05/pdfs/GMD-1803-27.pdf#page=9","Abrir facsímil")</f>
        <v>Abrir facsímil</v>
      </c>
      <c r="K3438" s="15" t="s">
        <v>23</v>
      </c>
    </row>
    <row r="3439" spans="1:11" ht="42" customHeight="1">
      <c r="A3439" s="4" t="s">
        <v>8584</v>
      </c>
      <c r="B3439" s="5" t="s">
        <v>8585</v>
      </c>
      <c r="C3439" s="5" t="s">
        <v>26</v>
      </c>
      <c r="D3439" s="5" t="s">
        <v>27</v>
      </c>
      <c r="E3439" s="5" t="s">
        <v>619</v>
      </c>
      <c r="F3439" s="9">
        <v>53</v>
      </c>
      <c r="G3439" s="9">
        <v>579</v>
      </c>
      <c r="H3439" s="5" t="s">
        <v>21</v>
      </c>
      <c r="I3439" s="5" t="s">
        <v>8587</v>
      </c>
      <c r="J3439" s="12" t="str">
        <f>HYPERLINK("https://www.boe.es/gazeta/dias/1803/07/05/pdfs/GMD-1803-53.pdf#page=11","Abrir facsímil")</f>
        <v>Abrir facsímil</v>
      </c>
      <c r="K3439" s="15" t="s">
        <v>23</v>
      </c>
    </row>
    <row r="3440" spans="1:11" ht="42" customHeight="1">
      <c r="A3440" s="4" t="s">
        <v>8588</v>
      </c>
      <c r="B3440" s="5" t="s">
        <v>8589</v>
      </c>
      <c r="C3440" s="5" t="s">
        <v>40</v>
      </c>
      <c r="D3440" s="5" t="s">
        <v>41</v>
      </c>
      <c r="E3440" s="5" t="s">
        <v>53</v>
      </c>
      <c r="F3440" s="9">
        <v>99</v>
      </c>
      <c r="G3440" s="9">
        <v>1060</v>
      </c>
      <c r="H3440" s="5" t="s">
        <v>21</v>
      </c>
      <c r="I3440" s="5" t="s">
        <v>8590</v>
      </c>
      <c r="J3440" s="12" t="str">
        <f>HYPERLINK("https://www.boe.es/gazeta/dias/1803/12/09/pdfs/GMD-1803-99.pdf#page=8","Abrir facsímil")</f>
        <v>Abrir facsímil</v>
      </c>
      <c r="K3440" s="15" t="s">
        <v>23</v>
      </c>
    </row>
    <row r="3441" spans="1:11" ht="42" customHeight="1">
      <c r="A3441" s="4" t="s">
        <v>8591</v>
      </c>
      <c r="B3441" s="5" t="s">
        <v>8592</v>
      </c>
      <c r="C3441" s="5" t="s">
        <v>26</v>
      </c>
      <c r="D3441" s="5" t="s">
        <v>27</v>
      </c>
      <c r="E3441" s="5" t="s">
        <v>71</v>
      </c>
      <c r="F3441" s="9">
        <v>39</v>
      </c>
      <c r="G3441" s="9">
        <v>413</v>
      </c>
      <c r="H3441" s="5" t="s">
        <v>21</v>
      </c>
      <c r="I3441" s="5" t="s">
        <v>8593</v>
      </c>
      <c r="J3441" s="12" t="str">
        <f>HYPERLINK("https://www.boe.es/gazeta/dias/1803/05/17/pdfs/GMD-1803-39.pdf#page=9","Abrir facsímil")</f>
        <v>Abrir facsímil</v>
      </c>
      <c r="K3441" s="15" t="s">
        <v>23</v>
      </c>
    </row>
    <row r="3442" spans="1:11" ht="42" customHeight="1">
      <c r="A3442" s="4" t="s">
        <v>8594</v>
      </c>
      <c r="B3442" s="5" t="s">
        <v>8595</v>
      </c>
      <c r="C3442" s="5" t="s">
        <v>80</v>
      </c>
      <c r="D3442" s="5" t="s">
        <v>81</v>
      </c>
      <c r="E3442" s="5" t="s">
        <v>207</v>
      </c>
      <c r="F3442" s="9">
        <v>27</v>
      </c>
      <c r="G3442" s="9">
        <v>296</v>
      </c>
      <c r="H3442" s="5" t="s">
        <v>21</v>
      </c>
      <c r="I3442" s="5" t="s">
        <v>8596</v>
      </c>
      <c r="J3442" s="12" t="str">
        <f>HYPERLINK("https://www.boe.es/gazeta/dias/1803/04/05/pdfs/GMD-1803-27.pdf#page=12","Abrir facsímil")</f>
        <v>Abrir facsímil</v>
      </c>
      <c r="K3442" s="15" t="s">
        <v>23</v>
      </c>
    </row>
    <row r="3443" spans="1:11" ht="42" customHeight="1">
      <c r="A3443" s="4" t="s">
        <v>8597</v>
      </c>
      <c r="B3443" s="5" t="s">
        <v>8598</v>
      </c>
      <c r="C3443" s="5" t="s">
        <v>26</v>
      </c>
      <c r="D3443" s="5" t="s">
        <v>27</v>
      </c>
      <c r="E3443" s="5" t="s">
        <v>93</v>
      </c>
      <c r="F3443" s="9">
        <v>43</v>
      </c>
      <c r="G3443" s="9">
        <v>450</v>
      </c>
      <c r="H3443" s="5" t="s">
        <v>21</v>
      </c>
      <c r="I3443" s="5" t="s">
        <v>8599</v>
      </c>
      <c r="J3443" s="12" t="str">
        <f>HYPERLINK("https://www.boe.es/gazeta/dias/1803/05/31/pdfs/GMD-1803-43.pdf#page=10","Abrir facsímil")</f>
        <v>Abrir facsímil</v>
      </c>
      <c r="K3443" s="15" t="s">
        <v>23</v>
      </c>
    </row>
    <row r="3444" spans="1:11" ht="42" customHeight="1">
      <c r="A3444" s="4" t="s">
        <v>8597</v>
      </c>
      <c r="B3444" s="5" t="s">
        <v>8598</v>
      </c>
      <c r="C3444" s="5" t="s">
        <v>26</v>
      </c>
      <c r="D3444" s="5" t="s">
        <v>27</v>
      </c>
      <c r="E3444" s="5" t="s">
        <v>403</v>
      </c>
      <c r="F3444" s="9">
        <v>91</v>
      </c>
      <c r="G3444" s="9">
        <v>977</v>
      </c>
      <c r="H3444" s="5" t="s">
        <v>21</v>
      </c>
      <c r="I3444" s="5" t="s">
        <v>8600</v>
      </c>
      <c r="J3444" s="12" t="str">
        <f>HYPERLINK("https://www.boe.es/gazeta/dias/1803/11/11/pdfs/GMD-1803-91.pdf#page=9","Abrir facsímil")</f>
        <v>Abrir facsímil</v>
      </c>
      <c r="K3444" s="15" t="s">
        <v>23</v>
      </c>
    </row>
    <row r="3445" spans="1:11" ht="42" customHeight="1">
      <c r="A3445" s="4" t="s">
        <v>8601</v>
      </c>
      <c r="B3445" s="5" t="s">
        <v>8602</v>
      </c>
      <c r="C3445" s="5" t="s">
        <v>51</v>
      </c>
      <c r="D3445" s="5" t="s">
        <v>52</v>
      </c>
      <c r="E3445" s="5" t="s">
        <v>373</v>
      </c>
      <c r="F3445" s="9">
        <v>77</v>
      </c>
      <c r="G3445" s="9">
        <v>834</v>
      </c>
      <c r="H3445" s="5" t="s">
        <v>21</v>
      </c>
      <c r="I3445" s="5" t="s">
        <v>8603</v>
      </c>
      <c r="J3445" s="12" t="str">
        <f>HYPERLINK("https://www.boe.es/gazeta/dias/1803/09/23/pdfs/GMD-1803-77.pdf#page=10","Abrir facsímil")</f>
        <v>Abrir facsímil</v>
      </c>
      <c r="K3445" s="15" t="s">
        <v>23</v>
      </c>
    </row>
    <row r="3446" spans="1:11" ht="42" customHeight="1">
      <c r="A3446" s="4" t="s">
        <v>8604</v>
      </c>
      <c r="B3446" s="5" t="s">
        <v>8605</v>
      </c>
      <c r="C3446" s="5" t="s">
        <v>26</v>
      </c>
      <c r="D3446" s="5" t="s">
        <v>27</v>
      </c>
      <c r="E3446" s="5" t="s">
        <v>328</v>
      </c>
      <c r="F3446" s="9">
        <v>54</v>
      </c>
      <c r="G3446" s="9">
        <v>591</v>
      </c>
      <c r="H3446" s="5" t="s">
        <v>21</v>
      </c>
      <c r="I3446" s="5" t="s">
        <v>8606</v>
      </c>
      <c r="J3446" s="12" t="str">
        <f>HYPERLINK("https://www.boe.es/gazeta/dias/1803/07/08/pdfs/GMD-1803-54.pdf#page=11","Abrir facsímil")</f>
        <v>Abrir facsímil</v>
      </c>
      <c r="K3446" s="15" t="s">
        <v>23</v>
      </c>
    </row>
    <row r="3447" spans="1:11" ht="42" customHeight="1">
      <c r="A3447" s="4" t="s">
        <v>8607</v>
      </c>
      <c r="B3447" s="5" t="s">
        <v>8608</v>
      </c>
      <c r="C3447" s="5" t="s">
        <v>46</v>
      </c>
      <c r="D3447" s="5" t="s">
        <v>19</v>
      </c>
      <c r="E3447" s="5" t="s">
        <v>403</v>
      </c>
      <c r="F3447" s="9">
        <v>91</v>
      </c>
      <c r="G3447" s="9">
        <v>979</v>
      </c>
      <c r="H3447" s="5" t="s">
        <v>21</v>
      </c>
      <c r="I3447" s="5" t="s">
        <v>8609</v>
      </c>
      <c r="J3447" s="12" t="str">
        <f>HYPERLINK("https://www.boe.es/gazeta/dias/1803/11/11/pdfs/GMD-1803-91.pdf#page=11","Abrir facsímil")</f>
        <v>Abrir facsímil</v>
      </c>
      <c r="K3447" s="15" t="s">
        <v>23</v>
      </c>
    </row>
    <row r="3448" spans="1:11" ht="42" customHeight="1">
      <c r="A3448" s="4" t="s">
        <v>8610</v>
      </c>
      <c r="B3448" s="5" t="s">
        <v>8611</v>
      </c>
      <c r="C3448" s="5" t="s">
        <v>51</v>
      </c>
      <c r="D3448" s="5" t="s">
        <v>52</v>
      </c>
      <c r="E3448" s="5" t="s">
        <v>1915</v>
      </c>
      <c r="F3448" s="9">
        <v>44</v>
      </c>
      <c r="G3448" s="9">
        <v>459</v>
      </c>
      <c r="H3448" s="5" t="s">
        <v>21</v>
      </c>
      <c r="I3448" s="5" t="s">
        <v>8612</v>
      </c>
      <c r="J3448" s="12" t="str">
        <f>HYPERLINK("https://www.boe.es/gazeta/dias/1803/06/03/pdfs/GMD-1803-44.pdf#page=7","Abrir facsímil")</f>
        <v>Abrir facsímil</v>
      </c>
      <c r="K3448" s="15" t="s">
        <v>23</v>
      </c>
    </row>
    <row r="3449" spans="1:11" ht="42" customHeight="1">
      <c r="A3449" s="4" t="s">
        <v>8613</v>
      </c>
      <c r="B3449" s="5" t="s">
        <v>8614</v>
      </c>
      <c r="C3449" s="5" t="s">
        <v>26</v>
      </c>
      <c r="D3449" s="5" t="s">
        <v>27</v>
      </c>
      <c r="E3449" s="5" t="s">
        <v>132</v>
      </c>
      <c r="F3449" s="9">
        <v>58</v>
      </c>
      <c r="G3449" s="9">
        <v>639</v>
      </c>
      <c r="H3449" s="5" t="s">
        <v>21</v>
      </c>
      <c r="I3449" s="5" t="s">
        <v>8615</v>
      </c>
      <c r="J3449" s="12" t="str">
        <f>HYPERLINK("https://www.boe.es/gazeta/dias/1803/07/22/pdfs/GMD-1803-58.pdf#page=11","Abrir facsímil")</f>
        <v>Abrir facsímil</v>
      </c>
      <c r="K3449" s="15" t="s">
        <v>23</v>
      </c>
    </row>
    <row r="3450" spans="1:11" ht="42" customHeight="1">
      <c r="A3450" s="4" t="s">
        <v>8616</v>
      </c>
      <c r="B3450" s="5" t="s">
        <v>8617</v>
      </c>
      <c r="C3450" s="5" t="s">
        <v>80</v>
      </c>
      <c r="D3450" s="5" t="s">
        <v>81</v>
      </c>
      <c r="E3450" s="5" t="s">
        <v>1279</v>
      </c>
      <c r="F3450" s="9">
        <v>3</v>
      </c>
      <c r="G3450" s="9">
        <v>28</v>
      </c>
      <c r="H3450" s="5" t="s">
        <v>21</v>
      </c>
      <c r="I3450" s="5" t="s">
        <v>8618</v>
      </c>
      <c r="J3450" s="12" t="str">
        <f>HYPERLINK("https://www.boe.es/gazeta/dias/1803/01/11/pdfs/GMD-1803-3.pdf#page=8","Abrir facsímil")</f>
        <v>Abrir facsímil</v>
      </c>
      <c r="K3450" s="15" t="s">
        <v>23</v>
      </c>
    </row>
    <row r="3451" spans="1:11" ht="42" customHeight="1">
      <c r="A3451" s="4" t="s">
        <v>8619</v>
      </c>
      <c r="B3451" s="5" t="s">
        <v>8620</v>
      </c>
      <c r="C3451" s="5" t="s">
        <v>18</v>
      </c>
      <c r="D3451" s="5" t="s">
        <v>19</v>
      </c>
      <c r="E3451" s="5" t="s">
        <v>967</v>
      </c>
      <c r="F3451" s="9">
        <v>35</v>
      </c>
      <c r="G3451" s="9">
        <v>367</v>
      </c>
      <c r="H3451" s="5" t="s">
        <v>21</v>
      </c>
      <c r="I3451" s="5" t="s">
        <v>8621</v>
      </c>
      <c r="J3451" s="12" t="str">
        <f>HYPERLINK("https://www.boe.es/gazeta/dias/1803/05/03/pdfs/GMD-1803-35.pdf#page=7","Abrir facsímil")</f>
        <v>Abrir facsímil</v>
      </c>
      <c r="K3451" s="15" t="s">
        <v>23</v>
      </c>
    </row>
    <row r="3452" spans="1:11" ht="42" customHeight="1">
      <c r="A3452" s="4" t="s">
        <v>8622</v>
      </c>
      <c r="B3452" s="5" t="s">
        <v>8623</v>
      </c>
      <c r="C3452" s="5" t="s">
        <v>18</v>
      </c>
      <c r="D3452" s="5" t="s">
        <v>19</v>
      </c>
      <c r="E3452" s="5" t="s">
        <v>417</v>
      </c>
      <c r="F3452" s="9">
        <v>72</v>
      </c>
      <c r="G3452" s="9">
        <v>786</v>
      </c>
      <c r="H3452" s="5" t="s">
        <v>21</v>
      </c>
      <c r="I3452" s="5" t="s">
        <v>8624</v>
      </c>
      <c r="J3452" s="12" t="str">
        <f>HYPERLINK("https://www.boe.es/gazeta/dias/1803/09/09/pdfs/GMD-1803-72.pdf#page=6","Abrir facsímil")</f>
        <v>Abrir facsímil</v>
      </c>
      <c r="K3452" s="15" t="s">
        <v>23</v>
      </c>
    </row>
    <row r="3453" spans="1:11" ht="42" customHeight="1">
      <c r="A3453" s="4" t="s">
        <v>8625</v>
      </c>
      <c r="B3453" s="5" t="s">
        <v>8626</v>
      </c>
      <c r="C3453" s="5" t="s">
        <v>26</v>
      </c>
      <c r="D3453" s="5" t="s">
        <v>27</v>
      </c>
      <c r="E3453" s="5" t="s">
        <v>263</v>
      </c>
      <c r="F3453" s="9">
        <v>75</v>
      </c>
      <c r="G3453" s="9">
        <v>810</v>
      </c>
      <c r="H3453" s="5" t="s">
        <v>21</v>
      </c>
      <c r="I3453" s="5" t="s">
        <v>8627</v>
      </c>
      <c r="J3453" s="12" t="str">
        <f>HYPERLINK("https://www.boe.es/gazeta/dias/1803/09/16/pdfs/GMD-1803-75.pdf#page=6","Abrir facsímil")</f>
        <v>Abrir facsímil</v>
      </c>
      <c r="K3453" s="15" t="s">
        <v>23</v>
      </c>
    </row>
    <row r="3454" spans="1:11" ht="42" customHeight="1">
      <c r="A3454" s="4" t="s">
        <v>8628</v>
      </c>
      <c r="B3454" s="5" t="s">
        <v>8629</v>
      </c>
      <c r="C3454" s="5" t="s">
        <v>26</v>
      </c>
      <c r="D3454" s="5" t="s">
        <v>27</v>
      </c>
      <c r="E3454" s="5" t="s">
        <v>496</v>
      </c>
      <c r="F3454" s="9">
        <v>90</v>
      </c>
      <c r="G3454" s="9">
        <v>966</v>
      </c>
      <c r="H3454" s="5" t="s">
        <v>21</v>
      </c>
      <c r="I3454" s="5" t="s">
        <v>8630</v>
      </c>
      <c r="J3454" s="12" t="str">
        <f>HYPERLINK("https://www.boe.es/gazeta/dias/1803/11/08/pdfs/GMD-1803-90.pdf#page=6","Abrir facsímil")</f>
        <v>Abrir facsímil</v>
      </c>
      <c r="K3454" s="15" t="s">
        <v>23</v>
      </c>
    </row>
    <row r="3455" spans="1:11" ht="42" customHeight="1">
      <c r="A3455" s="4" t="s">
        <v>8631</v>
      </c>
      <c r="B3455" s="5" t="s">
        <v>8632</v>
      </c>
      <c r="C3455" s="5" t="s">
        <v>26</v>
      </c>
      <c r="D3455" s="5" t="s">
        <v>27</v>
      </c>
      <c r="E3455" s="5" t="s">
        <v>919</v>
      </c>
      <c r="F3455" s="9">
        <v>69</v>
      </c>
      <c r="G3455" s="9">
        <v>749</v>
      </c>
      <c r="H3455" s="5" t="s">
        <v>21</v>
      </c>
      <c r="I3455" s="5" t="s">
        <v>8633</v>
      </c>
      <c r="J3455" s="12" t="str">
        <f>HYPERLINK("https://www.boe.es/gazeta/dias/1803/08/30/pdfs/GMD-1803-69.pdf#page=5","Abrir facsímil")</f>
        <v>Abrir facsímil</v>
      </c>
      <c r="K3455" s="15" t="s">
        <v>23</v>
      </c>
    </row>
    <row r="3456" spans="1:11" ht="42" customHeight="1">
      <c r="A3456" s="4" t="s">
        <v>8634</v>
      </c>
      <c r="B3456" s="5" t="s">
        <v>8635</v>
      </c>
      <c r="C3456" s="5" t="s">
        <v>51</v>
      </c>
      <c r="D3456" s="5" t="s">
        <v>52</v>
      </c>
      <c r="E3456" s="5" t="s">
        <v>88</v>
      </c>
      <c r="F3456" s="9">
        <v>18</v>
      </c>
      <c r="G3456" s="9">
        <v>188</v>
      </c>
      <c r="H3456" s="5" t="s">
        <v>21</v>
      </c>
      <c r="I3456" s="5" t="s">
        <v>8636</v>
      </c>
      <c r="J3456" s="12" t="str">
        <f>HYPERLINK("https://www.boe.es/gazeta/dias/1803/03/04/pdfs/GMD-1803-18.pdf#page=8","Abrir facsímil")</f>
        <v>Abrir facsímil</v>
      </c>
      <c r="K3456" s="15" t="s">
        <v>23</v>
      </c>
    </row>
    <row r="3457" spans="1:11" ht="42" customHeight="1">
      <c r="A3457" s="4" t="s">
        <v>8637</v>
      </c>
      <c r="B3457" s="5" t="s">
        <v>8638</v>
      </c>
      <c r="C3457" s="5" t="s">
        <v>18</v>
      </c>
      <c r="D3457" s="5" t="s">
        <v>19</v>
      </c>
      <c r="E3457" s="5" t="s">
        <v>128</v>
      </c>
      <c r="F3457" s="9">
        <v>80</v>
      </c>
      <c r="G3457" s="9">
        <v>863</v>
      </c>
      <c r="H3457" s="5" t="s">
        <v>21</v>
      </c>
      <c r="I3457" s="5" t="s">
        <v>8639</v>
      </c>
      <c r="J3457" s="12" t="str">
        <f>HYPERLINK("https://www.boe.es/gazeta/dias/1803/10/04/pdfs/GMD-1803-80.pdf#page=7","Abrir facsímil")</f>
        <v>Abrir facsímil</v>
      </c>
      <c r="K3457" s="15" t="s">
        <v>23</v>
      </c>
    </row>
    <row r="3458" spans="1:11" ht="42" customHeight="1">
      <c r="A3458" s="4" t="s">
        <v>8640</v>
      </c>
      <c r="B3458" s="5" t="s">
        <v>8641</v>
      </c>
      <c r="C3458" s="5" t="s">
        <v>26</v>
      </c>
      <c r="D3458" s="5" t="s">
        <v>27</v>
      </c>
      <c r="E3458" s="5" t="s">
        <v>132</v>
      </c>
      <c r="F3458" s="9">
        <v>58</v>
      </c>
      <c r="G3458" s="9">
        <v>638</v>
      </c>
      <c r="H3458" s="5" t="s">
        <v>21</v>
      </c>
      <c r="I3458" s="5" t="s">
        <v>8642</v>
      </c>
      <c r="J3458" s="12" t="str">
        <f>HYPERLINK("https://www.boe.es/gazeta/dias/1803/07/22/pdfs/GMD-1803-58.pdf#page=10","Abrir facsímil")</f>
        <v>Abrir facsímil</v>
      </c>
      <c r="K3458" s="15" t="s">
        <v>23</v>
      </c>
    </row>
    <row r="3459" spans="1:11" ht="42" customHeight="1">
      <c r="A3459" s="4" t="s">
        <v>8643</v>
      </c>
      <c r="B3459" s="5" t="s">
        <v>8644</v>
      </c>
      <c r="C3459" s="5" t="s">
        <v>26</v>
      </c>
      <c r="D3459" s="5" t="s">
        <v>27</v>
      </c>
      <c r="E3459" s="5" t="s">
        <v>514</v>
      </c>
      <c r="F3459" s="9">
        <v>42</v>
      </c>
      <c r="G3459" s="9">
        <v>439</v>
      </c>
      <c r="H3459" s="5" t="s">
        <v>21</v>
      </c>
      <c r="I3459" s="5" t="s">
        <v>8645</v>
      </c>
      <c r="J3459" s="12" t="str">
        <f>HYPERLINK("https://www.boe.es/gazeta/dias/1803/05/27/pdfs/GMD-1803-42.pdf#page=7","Abrir facsímil")</f>
        <v>Abrir facsímil</v>
      </c>
      <c r="K3459" s="15" t="s">
        <v>23</v>
      </c>
    </row>
    <row r="3460" spans="1:11" ht="42" customHeight="1">
      <c r="A3460" s="4" t="s">
        <v>8646</v>
      </c>
      <c r="B3460" s="5" t="s">
        <v>8647</v>
      </c>
      <c r="C3460" s="5" t="s">
        <v>51</v>
      </c>
      <c r="D3460" s="5" t="s">
        <v>52</v>
      </c>
      <c r="E3460" s="5" t="s">
        <v>211</v>
      </c>
      <c r="F3460" s="9">
        <v>71</v>
      </c>
      <c r="G3460" s="9">
        <v>779</v>
      </c>
      <c r="H3460" s="5" t="s">
        <v>21</v>
      </c>
      <c r="I3460" s="5" t="s">
        <v>8648</v>
      </c>
      <c r="J3460" s="12" t="str">
        <f>HYPERLINK("https://www.boe.es/gazeta/dias/1803/09/06/pdfs/GMD-1803-71.pdf#page=11","Abrir facsímil")</f>
        <v>Abrir facsímil</v>
      </c>
      <c r="K3460" s="15" t="s">
        <v>23</v>
      </c>
    </row>
    <row r="3461" spans="1:11" ht="42" customHeight="1">
      <c r="A3461" s="4" t="s">
        <v>8649</v>
      </c>
      <c r="B3461" s="5" t="s">
        <v>8650</v>
      </c>
      <c r="C3461" s="5" t="s">
        <v>26</v>
      </c>
      <c r="D3461" s="5" t="s">
        <v>27</v>
      </c>
      <c r="E3461" s="5" t="s">
        <v>132</v>
      </c>
      <c r="F3461" s="9">
        <v>58</v>
      </c>
      <c r="G3461" s="9">
        <v>639</v>
      </c>
      <c r="H3461" s="5" t="s">
        <v>21</v>
      </c>
      <c r="I3461" s="5" t="s">
        <v>8651</v>
      </c>
      <c r="J3461" s="12" t="str">
        <f>HYPERLINK("https://www.boe.es/gazeta/dias/1803/07/22/pdfs/GMD-1803-58.pdf#page=11","Abrir facsímil")</f>
        <v>Abrir facsímil</v>
      </c>
      <c r="K3461" s="15" t="s">
        <v>23</v>
      </c>
    </row>
    <row r="3462" spans="1:11" ht="42" customHeight="1">
      <c r="A3462" s="4" t="s">
        <v>8652</v>
      </c>
      <c r="B3462" s="5" t="s">
        <v>8653</v>
      </c>
      <c r="C3462" s="5" t="s">
        <v>26</v>
      </c>
      <c r="D3462" s="5" t="s">
        <v>27</v>
      </c>
      <c r="E3462" s="5" t="s">
        <v>132</v>
      </c>
      <c r="F3462" s="9">
        <v>58</v>
      </c>
      <c r="G3462" s="9">
        <v>639</v>
      </c>
      <c r="H3462" s="5" t="s">
        <v>21</v>
      </c>
      <c r="I3462" s="5" t="s">
        <v>8654</v>
      </c>
      <c r="J3462" s="12" t="str">
        <f>HYPERLINK("https://www.boe.es/gazeta/dias/1803/07/22/pdfs/GMD-1803-58.pdf#page=11","Abrir facsímil")</f>
        <v>Abrir facsímil</v>
      </c>
      <c r="K3462" s="15" t="s">
        <v>23</v>
      </c>
    </row>
    <row r="3463" spans="1:11" ht="42" customHeight="1">
      <c r="A3463" s="4" t="s">
        <v>8655</v>
      </c>
      <c r="B3463" s="5" t="s">
        <v>8656</v>
      </c>
      <c r="C3463" s="5" t="s">
        <v>26</v>
      </c>
      <c r="D3463" s="5" t="s">
        <v>27</v>
      </c>
      <c r="E3463" s="5" t="s">
        <v>361</v>
      </c>
      <c r="F3463" s="9">
        <v>62</v>
      </c>
      <c r="G3463" s="9">
        <v>676</v>
      </c>
      <c r="H3463" s="5" t="s">
        <v>21</v>
      </c>
      <c r="I3463" s="5" t="s">
        <v>8657</v>
      </c>
      <c r="J3463" s="12" t="str">
        <f>HYPERLINK("https://www.boe.es/gazeta/dias/1803/08/05/pdfs/GMD-1803-62.pdf#page=8","Abrir facsímil")</f>
        <v>Abrir facsímil</v>
      </c>
      <c r="K3463" s="15" t="s">
        <v>23</v>
      </c>
    </row>
    <row r="3464" spans="1:11" ht="42" customHeight="1">
      <c r="A3464" s="4" t="s">
        <v>8658</v>
      </c>
      <c r="B3464" s="5" t="s">
        <v>8659</v>
      </c>
      <c r="C3464" s="5" t="s">
        <v>40</v>
      </c>
      <c r="D3464" s="5" t="s">
        <v>41</v>
      </c>
      <c r="E3464" s="5" t="s">
        <v>588</v>
      </c>
      <c r="F3464" s="9">
        <v>63</v>
      </c>
      <c r="G3464" s="9">
        <v>683</v>
      </c>
      <c r="H3464" s="5" t="s">
        <v>21</v>
      </c>
      <c r="I3464" s="5" t="s">
        <v>8660</v>
      </c>
      <c r="J3464" s="12" t="str">
        <f>HYPERLINK("https://www.boe.es/gazeta/dias/1803/08/09/pdfs/GMD-1803-63.pdf#page=3","Abrir facsímil")</f>
        <v>Abrir facsímil</v>
      </c>
      <c r="K3464" s="15" t="s">
        <v>23</v>
      </c>
    </row>
    <row r="3465" spans="1:11" ht="42" customHeight="1">
      <c r="A3465" s="4" t="s">
        <v>8661</v>
      </c>
      <c r="B3465" s="5" t="s">
        <v>8662</v>
      </c>
      <c r="C3465" s="5" t="s">
        <v>26</v>
      </c>
      <c r="D3465" s="5" t="s">
        <v>27</v>
      </c>
      <c r="E3465" s="5" t="s">
        <v>657</v>
      </c>
      <c r="F3465" s="9">
        <v>24</v>
      </c>
      <c r="G3465" s="9">
        <v>256</v>
      </c>
      <c r="H3465" s="5" t="s">
        <v>21</v>
      </c>
      <c r="I3465" s="5" t="s">
        <v>8663</v>
      </c>
      <c r="J3465" s="12" t="str">
        <f>HYPERLINK("https://www.boe.es/gazeta/dias/1803/03/25/pdfs/GMD-1803-24.pdf#page=8","Abrir facsímil")</f>
        <v>Abrir facsímil</v>
      </c>
      <c r="K3465" s="15" t="s">
        <v>23</v>
      </c>
    </row>
    <row r="3466" spans="1:11" ht="42" customHeight="1">
      <c r="A3466" s="4" t="s">
        <v>8664</v>
      </c>
      <c r="B3466" s="5" t="s">
        <v>8665</v>
      </c>
      <c r="C3466" s="5" t="s">
        <v>26</v>
      </c>
      <c r="D3466" s="5" t="s">
        <v>27</v>
      </c>
      <c r="E3466" s="5" t="s">
        <v>148</v>
      </c>
      <c r="F3466" s="9">
        <v>15</v>
      </c>
      <c r="G3466" s="9">
        <v>157</v>
      </c>
      <c r="H3466" s="5" t="s">
        <v>21</v>
      </c>
      <c r="I3466" s="5" t="s">
        <v>8666</v>
      </c>
      <c r="J3466" s="12" t="str">
        <f>HYPERLINK("https://www.boe.es/gazeta/dias/1803/02/22/pdfs/GMD-1803-15.pdf#page=9","Abrir facsímil")</f>
        <v>Abrir facsímil</v>
      </c>
      <c r="K3466" s="15" t="s">
        <v>23</v>
      </c>
    </row>
    <row r="3467" spans="1:11" ht="42" customHeight="1">
      <c r="A3467" s="4" t="s">
        <v>8667</v>
      </c>
      <c r="B3467" s="5" t="s">
        <v>8668</v>
      </c>
      <c r="C3467" s="5" t="s">
        <v>18</v>
      </c>
      <c r="D3467" s="5" t="s">
        <v>19</v>
      </c>
      <c r="E3467" s="5" t="s">
        <v>340</v>
      </c>
      <c r="F3467" s="9">
        <v>55</v>
      </c>
      <c r="G3467" s="9">
        <v>602</v>
      </c>
      <c r="H3467" s="5" t="s">
        <v>21</v>
      </c>
      <c r="I3467" s="5" t="s">
        <v>8669</v>
      </c>
      <c r="J3467" s="12" t="str">
        <f>HYPERLINK("https://www.boe.es/gazeta/dias/1803/07/12/pdfs/GMD-1803-55.pdf#page=10","Abrir facsímil")</f>
        <v>Abrir facsímil</v>
      </c>
      <c r="K3467" s="15" t="s">
        <v>23</v>
      </c>
    </row>
    <row r="3468" spans="1:11" ht="42" customHeight="1">
      <c r="A3468" s="4" t="s">
        <v>8670</v>
      </c>
      <c r="B3468" s="5" t="s">
        <v>8671</v>
      </c>
      <c r="C3468" s="5" t="s">
        <v>80</v>
      </c>
      <c r="D3468" s="5" t="s">
        <v>81</v>
      </c>
      <c r="E3468" s="5" t="s">
        <v>191</v>
      </c>
      <c r="F3468" s="9">
        <v>34</v>
      </c>
      <c r="G3468" s="9" t="s">
        <v>876</v>
      </c>
      <c r="H3468" s="5" t="s">
        <v>21</v>
      </c>
      <c r="I3468" s="5" t="s">
        <v>8672</v>
      </c>
      <c r="J3468" s="12" t="str">
        <f>HYPERLINK("https://www.boe.es/gazeta/dias/1803/04/29/pdfs/GMD-C-1803-34.pdf#page=1","Abrir facsímil")</f>
        <v>Abrir facsímil</v>
      </c>
      <c r="K3468" s="15" t="s">
        <v>23</v>
      </c>
    </row>
    <row r="3469" spans="1:11" ht="42" customHeight="1">
      <c r="A3469" s="4" t="s">
        <v>8673</v>
      </c>
      <c r="B3469" s="5" t="s">
        <v>8674</v>
      </c>
      <c r="C3469" s="5" t="s">
        <v>18</v>
      </c>
      <c r="D3469" s="5" t="s">
        <v>19</v>
      </c>
      <c r="E3469" s="5" t="s">
        <v>361</v>
      </c>
      <c r="F3469" s="9">
        <v>62</v>
      </c>
      <c r="G3469" s="9">
        <v>679</v>
      </c>
      <c r="H3469" s="5" t="s">
        <v>21</v>
      </c>
      <c r="I3469" s="5" t="s">
        <v>8675</v>
      </c>
      <c r="J3469" s="12" t="str">
        <f>HYPERLINK("https://www.boe.es/gazeta/dias/1803/08/05/pdfs/GMD-1803-62.pdf#page=11","Abrir facsímil")</f>
        <v>Abrir facsímil</v>
      </c>
      <c r="K3469" s="15" t="s">
        <v>23</v>
      </c>
    </row>
    <row r="3470" spans="1:11" ht="42" customHeight="1">
      <c r="A3470" s="4" t="s">
        <v>8676</v>
      </c>
      <c r="B3470" s="5" t="s">
        <v>8677</v>
      </c>
      <c r="C3470" s="5" t="s">
        <v>46</v>
      </c>
      <c r="D3470" s="5" t="s">
        <v>19</v>
      </c>
      <c r="E3470" s="5" t="s">
        <v>1846</v>
      </c>
      <c r="F3470" s="9">
        <v>89</v>
      </c>
      <c r="G3470" s="9">
        <v>959</v>
      </c>
      <c r="H3470" s="5" t="s">
        <v>21</v>
      </c>
      <c r="I3470" s="5" t="s">
        <v>8678</v>
      </c>
      <c r="J3470" s="12" t="str">
        <f>HYPERLINK("https://www.boe.es/gazeta/dias/1803/11/04/pdfs/GMD-1803-89.pdf#page=7","Abrir facsímil")</f>
        <v>Abrir facsímil</v>
      </c>
      <c r="K3470" s="15" t="s">
        <v>23</v>
      </c>
    </row>
    <row r="3471" spans="1:11" ht="42" customHeight="1">
      <c r="A3471" s="4" t="s">
        <v>8679</v>
      </c>
      <c r="B3471" s="5" t="s">
        <v>8680</v>
      </c>
      <c r="C3471" s="5" t="s">
        <v>18</v>
      </c>
      <c r="D3471" s="5" t="s">
        <v>19</v>
      </c>
      <c r="E3471" s="5" t="s">
        <v>218</v>
      </c>
      <c r="F3471" s="9">
        <v>19</v>
      </c>
      <c r="G3471" s="9">
        <v>201</v>
      </c>
      <c r="H3471" s="5" t="s">
        <v>21</v>
      </c>
      <c r="I3471" s="5" t="s">
        <v>8681</v>
      </c>
      <c r="J3471" s="12" t="str">
        <f>HYPERLINK("https://www.boe.es/gazeta/dias/1803/03/08/pdfs/GMD-1803-19.pdf#page=9","Abrir facsímil")</f>
        <v>Abrir facsímil</v>
      </c>
      <c r="K3471" s="15" t="s">
        <v>23</v>
      </c>
    </row>
    <row r="3472" spans="1:11" ht="42" customHeight="1">
      <c r="A3472" s="4" t="s">
        <v>8682</v>
      </c>
      <c r="B3472" s="5" t="s">
        <v>8683</v>
      </c>
      <c r="C3472" s="5" t="s">
        <v>26</v>
      </c>
      <c r="D3472" s="5" t="s">
        <v>27</v>
      </c>
      <c r="E3472" s="5" t="s">
        <v>919</v>
      </c>
      <c r="F3472" s="9">
        <v>69</v>
      </c>
      <c r="G3472" s="9">
        <v>749</v>
      </c>
      <c r="H3472" s="5" t="s">
        <v>21</v>
      </c>
      <c r="I3472" s="5" t="s">
        <v>8684</v>
      </c>
      <c r="J3472" s="12" t="str">
        <f>HYPERLINK("https://www.boe.es/gazeta/dias/1803/08/30/pdfs/GMD-1803-69.pdf#page=5","Abrir facsímil")</f>
        <v>Abrir facsímil</v>
      </c>
      <c r="K3472" s="15" t="s">
        <v>23</v>
      </c>
    </row>
    <row r="3473" spans="1:11" ht="42" customHeight="1">
      <c r="A3473" s="4" t="s">
        <v>8685</v>
      </c>
      <c r="B3473" s="5" t="s">
        <v>8686</v>
      </c>
      <c r="C3473" s="5" t="s">
        <v>51</v>
      </c>
      <c r="D3473" s="5" t="s">
        <v>52</v>
      </c>
      <c r="E3473" s="5" t="s">
        <v>207</v>
      </c>
      <c r="F3473" s="9">
        <v>27</v>
      </c>
      <c r="G3473" s="9">
        <v>293</v>
      </c>
      <c r="H3473" s="5" t="s">
        <v>21</v>
      </c>
      <c r="I3473" s="5" t="s">
        <v>8687</v>
      </c>
      <c r="J3473" s="12" t="str">
        <f>HYPERLINK("https://www.boe.es/gazeta/dias/1803/04/05/pdfs/GMD-1803-27.pdf#page=9","Abrir facsímil")</f>
        <v>Abrir facsímil</v>
      </c>
      <c r="K3473" s="15" t="s">
        <v>23</v>
      </c>
    </row>
    <row r="3474" spans="1:11" ht="42" customHeight="1">
      <c r="A3474" s="4" t="s">
        <v>8688</v>
      </c>
      <c r="B3474" s="5" t="s">
        <v>8689</v>
      </c>
      <c r="C3474" s="5" t="s">
        <v>51</v>
      </c>
      <c r="D3474" s="5" t="s">
        <v>52</v>
      </c>
      <c r="E3474" s="5" t="s">
        <v>156</v>
      </c>
      <c r="F3474" s="9">
        <v>2</v>
      </c>
      <c r="G3474" s="9">
        <v>18</v>
      </c>
      <c r="H3474" s="5" t="s">
        <v>21</v>
      </c>
      <c r="I3474" s="5" t="s">
        <v>8690</v>
      </c>
      <c r="J3474" s="12" t="str">
        <f>HYPERLINK("https://www.boe.es/gazeta/dias/1803/01/07/pdfs/GMD-1803-2.pdf#page=10","Abrir facsímil")</f>
        <v>Abrir facsímil</v>
      </c>
      <c r="K3474" s="15" t="s">
        <v>23</v>
      </c>
    </row>
    <row r="3475" spans="1:11" ht="42" customHeight="1">
      <c r="A3475" s="4" t="s">
        <v>8688</v>
      </c>
      <c r="B3475" s="5" t="s">
        <v>8689</v>
      </c>
      <c r="C3475" s="5" t="s">
        <v>51</v>
      </c>
      <c r="D3475" s="5" t="s">
        <v>52</v>
      </c>
      <c r="E3475" s="5" t="s">
        <v>571</v>
      </c>
      <c r="F3475" s="9">
        <v>103</v>
      </c>
      <c r="G3475" s="9">
        <v>1107</v>
      </c>
      <c r="H3475" s="5" t="s">
        <v>21</v>
      </c>
      <c r="I3475" s="5" t="s">
        <v>8691</v>
      </c>
      <c r="J3475" s="12" t="str">
        <f>HYPERLINK("https://www.boe.es/gazeta/dias/1803/12/23/pdfs/GMD-1803-103.pdf#page=7","Abrir facsímil")</f>
        <v>Abrir facsímil</v>
      </c>
      <c r="K3475" s="15" t="s">
        <v>23</v>
      </c>
    </row>
    <row r="3476" spans="1:11" ht="42" customHeight="1">
      <c r="A3476" s="4" t="s">
        <v>8692</v>
      </c>
      <c r="B3476" s="5" t="s">
        <v>8693</v>
      </c>
      <c r="C3476" s="5" t="s">
        <v>18</v>
      </c>
      <c r="D3476" s="5" t="s">
        <v>19</v>
      </c>
      <c r="E3476" s="5" t="s">
        <v>258</v>
      </c>
      <c r="F3476" s="9">
        <v>7</v>
      </c>
      <c r="G3476" s="9">
        <v>71</v>
      </c>
      <c r="H3476" s="5" t="s">
        <v>21</v>
      </c>
      <c r="I3476" s="5" t="s">
        <v>8694</v>
      </c>
      <c r="J3476" s="12" t="str">
        <f>HYPERLINK("https://www.boe.es/gazeta/dias/1803/01/25/pdfs/GMD-1803-7.pdf#page=11","Abrir facsímil")</f>
        <v>Abrir facsímil</v>
      </c>
      <c r="K3476" s="15" t="s">
        <v>23</v>
      </c>
    </row>
    <row r="3477" spans="1:11" ht="42" customHeight="1">
      <c r="A3477" s="4" t="s">
        <v>8695</v>
      </c>
      <c r="B3477" s="5" t="s">
        <v>8696</v>
      </c>
      <c r="C3477" s="5" t="s">
        <v>18</v>
      </c>
      <c r="D3477" s="5" t="s">
        <v>19</v>
      </c>
      <c r="E3477" s="5" t="s">
        <v>189</v>
      </c>
      <c r="F3477" s="9">
        <v>9</v>
      </c>
      <c r="G3477" s="9">
        <v>92</v>
      </c>
      <c r="H3477" s="5" t="s">
        <v>21</v>
      </c>
      <c r="I3477" s="5" t="s">
        <v>8697</v>
      </c>
      <c r="J3477" s="12" t="str">
        <f>HYPERLINK("https://www.boe.es/gazeta/dias/1803/02/01/pdfs/GMD-1803-9.pdf#page=8","Abrir facsímil")</f>
        <v>Abrir facsímil</v>
      </c>
      <c r="K3477" s="15" t="s">
        <v>23</v>
      </c>
    </row>
    <row r="3478" spans="1:11" ht="42" customHeight="1">
      <c r="A3478" s="4" t="s">
        <v>8698</v>
      </c>
      <c r="B3478" s="5" t="s">
        <v>8699</v>
      </c>
      <c r="C3478" s="5" t="s">
        <v>26</v>
      </c>
      <c r="D3478" s="5" t="s">
        <v>27</v>
      </c>
      <c r="E3478" s="5" t="s">
        <v>191</v>
      </c>
      <c r="F3478" s="9">
        <v>34</v>
      </c>
      <c r="G3478" s="9">
        <v>358</v>
      </c>
      <c r="H3478" s="5" t="s">
        <v>21</v>
      </c>
      <c r="I3478" s="5" t="s">
        <v>8700</v>
      </c>
      <c r="J3478" s="12" t="str">
        <f>HYPERLINK("https://www.boe.es/gazeta/dias/1803/04/29/pdfs/GMD-1803-34.pdf#page=6","Abrir facsímil")</f>
        <v>Abrir facsímil</v>
      </c>
      <c r="K3478" s="15" t="s">
        <v>23</v>
      </c>
    </row>
    <row r="3479" spans="1:11" ht="42" customHeight="1">
      <c r="A3479" s="4" t="s">
        <v>8701</v>
      </c>
      <c r="B3479" s="5" t="s">
        <v>8702</v>
      </c>
      <c r="C3479" s="5" t="s">
        <v>51</v>
      </c>
      <c r="D3479" s="5" t="s">
        <v>52</v>
      </c>
      <c r="E3479" s="5" t="s">
        <v>300</v>
      </c>
      <c r="F3479" s="9">
        <v>96</v>
      </c>
      <c r="G3479" s="9">
        <v>1028</v>
      </c>
      <c r="H3479" s="5" t="s">
        <v>21</v>
      </c>
      <c r="I3479" s="5" t="s">
        <v>8703</v>
      </c>
      <c r="J3479" s="12" t="str">
        <f>HYPERLINK("https://www.boe.es/gazeta/dias/1803/11/29/pdfs/GMD-1803-96.pdf#page=4","Abrir facsímil")</f>
        <v>Abrir facsímil</v>
      </c>
      <c r="K3479" s="15" t="s">
        <v>23</v>
      </c>
    </row>
    <row r="3480" spans="1:11" ht="42" customHeight="1">
      <c r="A3480" s="4" t="s">
        <v>8704</v>
      </c>
      <c r="B3480" s="5" t="s">
        <v>8705</v>
      </c>
      <c r="C3480" s="5" t="s">
        <v>51</v>
      </c>
      <c r="D3480" s="5" t="s">
        <v>52</v>
      </c>
      <c r="E3480" s="5" t="s">
        <v>340</v>
      </c>
      <c r="F3480" s="9">
        <v>55</v>
      </c>
      <c r="G3480" s="9">
        <v>602</v>
      </c>
      <c r="H3480" s="5" t="s">
        <v>21</v>
      </c>
      <c r="I3480" s="5" t="s">
        <v>8706</v>
      </c>
      <c r="J3480" s="12" t="str">
        <f>HYPERLINK("https://www.boe.es/gazeta/dias/1803/07/12/pdfs/GMD-1803-55.pdf#page=10","Abrir facsímil")</f>
        <v>Abrir facsímil</v>
      </c>
      <c r="K3480" s="15" t="s">
        <v>23</v>
      </c>
    </row>
    <row r="3481" spans="1:11" ht="42" customHeight="1">
      <c r="A3481" s="4" t="s">
        <v>8707</v>
      </c>
      <c r="B3481" s="5" t="s">
        <v>8708</v>
      </c>
      <c r="C3481" s="5" t="s">
        <v>46</v>
      </c>
      <c r="D3481" s="5" t="s">
        <v>19</v>
      </c>
      <c r="E3481" s="5" t="s">
        <v>321</v>
      </c>
      <c r="F3481" s="9">
        <v>94</v>
      </c>
      <c r="G3481" s="9">
        <v>1011</v>
      </c>
      <c r="H3481" s="5" t="s">
        <v>21</v>
      </c>
      <c r="I3481" s="5" t="s">
        <v>8709</v>
      </c>
      <c r="J3481" s="12" t="str">
        <f>HYPERLINK("https://www.boe.es/gazeta/dias/1803/11/22/pdfs/GMD-1803-94.pdf#page=11","Abrir facsímil")</f>
        <v>Abrir facsímil</v>
      </c>
      <c r="K3481" s="15" t="s">
        <v>23</v>
      </c>
    </row>
    <row r="3482" spans="1:11" ht="42" customHeight="1">
      <c r="A3482" s="4" t="s">
        <v>8710</v>
      </c>
      <c r="B3482" s="5" t="s">
        <v>8711</v>
      </c>
      <c r="C3482" s="5" t="s">
        <v>51</v>
      </c>
      <c r="D3482" s="5" t="s">
        <v>52</v>
      </c>
      <c r="E3482" s="5" t="s">
        <v>71</v>
      </c>
      <c r="F3482" s="9">
        <v>39</v>
      </c>
      <c r="G3482" s="9">
        <v>416</v>
      </c>
      <c r="H3482" s="5" t="s">
        <v>21</v>
      </c>
      <c r="I3482" s="5" t="s">
        <v>8712</v>
      </c>
      <c r="J3482" s="12" t="str">
        <f>HYPERLINK("https://www.boe.es/gazeta/dias/1803/05/17/pdfs/GMD-1803-39.pdf#page=12","Abrir facsímil")</f>
        <v>Abrir facsímil</v>
      </c>
      <c r="K3482" s="15" t="s">
        <v>23</v>
      </c>
    </row>
    <row r="3483" spans="1:11" ht="42" customHeight="1">
      <c r="A3483" s="4" t="s">
        <v>8710</v>
      </c>
      <c r="B3483" s="5" t="s">
        <v>8711</v>
      </c>
      <c r="C3483" s="5" t="s">
        <v>26</v>
      </c>
      <c r="D3483" s="5" t="s">
        <v>27</v>
      </c>
      <c r="E3483" s="5" t="s">
        <v>160</v>
      </c>
      <c r="F3483" s="9">
        <v>81</v>
      </c>
      <c r="G3483" s="9">
        <v>871</v>
      </c>
      <c r="H3483" s="5" t="s">
        <v>21</v>
      </c>
      <c r="I3483" s="5" t="s">
        <v>8713</v>
      </c>
      <c r="J3483" s="12" t="str">
        <f>HYPERLINK("https://www.boe.es/gazeta/dias/1803/10/07/pdfs/GMD-1803-81.pdf#page=7","Abrir facsímil")</f>
        <v>Abrir facsímil</v>
      </c>
      <c r="K3483" s="15" t="s">
        <v>23</v>
      </c>
    </row>
    <row r="3484" spans="1:11" ht="42" customHeight="1">
      <c r="A3484" s="4" t="s">
        <v>8714</v>
      </c>
      <c r="B3484" s="5" t="s">
        <v>8715</v>
      </c>
      <c r="C3484" s="5" t="s">
        <v>874</v>
      </c>
      <c r="D3484" s="5" t="s">
        <v>875</v>
      </c>
      <c r="E3484" s="5" t="s">
        <v>480</v>
      </c>
      <c r="F3484" s="9">
        <v>87</v>
      </c>
      <c r="G3484" s="9" t="s">
        <v>1213</v>
      </c>
      <c r="H3484" s="5" t="s">
        <v>21</v>
      </c>
      <c r="I3484" s="5" t="s">
        <v>8716</v>
      </c>
      <c r="J3484" s="12" t="str">
        <f>HYPERLINK("https://www.boe.es/gazeta/dias/1803/10/28/pdfs/GMD-C-1803-87.pdf#page=2","Abrir facsímil")</f>
        <v>Abrir facsímil</v>
      </c>
      <c r="K3484" s="15" t="s">
        <v>23</v>
      </c>
    </row>
    <row r="3485" spans="1:11" ht="42" customHeight="1">
      <c r="A3485" s="4" t="s">
        <v>8717</v>
      </c>
      <c r="B3485" s="5" t="s">
        <v>8718</v>
      </c>
      <c r="C3485" s="5" t="s">
        <v>80</v>
      </c>
      <c r="D3485" s="5" t="s">
        <v>81</v>
      </c>
      <c r="E3485" s="5" t="s">
        <v>657</v>
      </c>
      <c r="F3485" s="9">
        <v>24</v>
      </c>
      <c r="G3485" s="9">
        <v>259</v>
      </c>
      <c r="H3485" s="5" t="s">
        <v>21</v>
      </c>
      <c r="I3485" s="5" t="s">
        <v>8719</v>
      </c>
      <c r="J3485" s="12" t="str">
        <f>HYPERLINK("https://www.boe.es/gazeta/dias/1803/03/25/pdfs/GMD-1803-24.pdf#page=11","Abrir facsímil")</f>
        <v>Abrir facsímil</v>
      </c>
      <c r="K3485" s="15" t="s">
        <v>23</v>
      </c>
    </row>
    <row r="3486" spans="1:11" ht="42" customHeight="1">
      <c r="A3486" s="4" t="s">
        <v>8720</v>
      </c>
      <c r="B3486" s="5" t="s">
        <v>8720</v>
      </c>
      <c r="C3486" s="5" t="s">
        <v>40</v>
      </c>
      <c r="D3486" s="5" t="s">
        <v>41</v>
      </c>
      <c r="E3486" s="5" t="s">
        <v>75</v>
      </c>
      <c r="F3486" s="9">
        <v>56</v>
      </c>
      <c r="G3486" s="9">
        <v>611</v>
      </c>
      <c r="H3486" s="5" t="s">
        <v>21</v>
      </c>
      <c r="I3486" s="5" t="s">
        <v>8721</v>
      </c>
      <c r="J3486" s="12" t="str">
        <f>HYPERLINK("https://www.boe.es/gazeta/dias/1803/07/15/pdfs/GMD-1803-56.pdf#page=7","Abrir facsímil")</f>
        <v>Abrir facsímil</v>
      </c>
      <c r="K3486" s="15" t="s">
        <v>23</v>
      </c>
    </row>
    <row r="3487" spans="1:11" ht="42" customHeight="1">
      <c r="A3487" s="4" t="s">
        <v>8722</v>
      </c>
      <c r="B3487" s="5" t="s">
        <v>8722</v>
      </c>
      <c r="C3487" s="5" t="s">
        <v>26</v>
      </c>
      <c r="D3487" s="5" t="s">
        <v>27</v>
      </c>
      <c r="E3487" s="5" t="s">
        <v>399</v>
      </c>
      <c r="F3487" s="9">
        <v>95</v>
      </c>
      <c r="G3487" s="9">
        <v>1018</v>
      </c>
      <c r="H3487" s="5" t="s">
        <v>21</v>
      </c>
      <c r="I3487" s="5" t="s">
        <v>8723</v>
      </c>
      <c r="J3487" s="12" t="str">
        <f>HYPERLINK("https://www.boe.es/gazeta/dias/1803/11/25/pdfs/GMD-1803-95.pdf#page=6","Abrir facsímil")</f>
        <v>Abrir facsímil</v>
      </c>
      <c r="K3487" s="15" t="s">
        <v>23</v>
      </c>
    </row>
    <row r="3488" spans="1:11" ht="42" customHeight="1">
      <c r="A3488" s="4" t="s">
        <v>8724</v>
      </c>
      <c r="B3488" s="5" t="s">
        <v>8725</v>
      </c>
      <c r="C3488" s="5" t="s">
        <v>18</v>
      </c>
      <c r="D3488" s="5" t="s">
        <v>19</v>
      </c>
      <c r="E3488" s="5" t="s">
        <v>83</v>
      </c>
      <c r="F3488" s="9">
        <v>28</v>
      </c>
      <c r="G3488" s="9">
        <v>303</v>
      </c>
      <c r="H3488" s="5" t="s">
        <v>21</v>
      </c>
      <c r="I3488" s="5" t="s">
        <v>8726</v>
      </c>
      <c r="J3488" s="12" t="str">
        <f>HYPERLINK("https://www.boe.es/gazeta/dias/1803/04/08/pdfs/GMD-1803-28.pdf#page=7","Abrir facsímil")</f>
        <v>Abrir facsímil</v>
      </c>
      <c r="K3488" s="15" t="s">
        <v>23</v>
      </c>
    </row>
    <row r="3489" spans="1:11" ht="42" customHeight="1">
      <c r="A3489" s="4" t="s">
        <v>8727</v>
      </c>
      <c r="B3489" s="5" t="s">
        <v>8727</v>
      </c>
      <c r="C3489" s="5" t="s">
        <v>40</v>
      </c>
      <c r="D3489" s="5" t="s">
        <v>41</v>
      </c>
      <c r="E3489" s="5" t="s">
        <v>178</v>
      </c>
      <c r="F3489" s="9">
        <v>36</v>
      </c>
      <c r="G3489" s="9">
        <v>369</v>
      </c>
      <c r="H3489" s="5" t="s">
        <v>21</v>
      </c>
      <c r="I3489" s="5" t="s">
        <v>8728</v>
      </c>
      <c r="J3489" s="12" t="str">
        <f>HYPERLINK("https://www.boe.es/gazeta/dias/1803/05/06/pdfs/GMD-1803-36.pdf#page=1","Abrir facsímil")</f>
        <v>Abrir facsímil</v>
      </c>
      <c r="K3489" s="15" t="s">
        <v>23</v>
      </c>
    </row>
    <row r="3490" spans="1:11" ht="42" customHeight="1">
      <c r="A3490" s="4" t="s">
        <v>8727</v>
      </c>
      <c r="B3490" s="5" t="s">
        <v>8727</v>
      </c>
      <c r="C3490" s="5" t="s">
        <v>40</v>
      </c>
      <c r="D3490" s="5" t="s">
        <v>41</v>
      </c>
      <c r="E3490" s="5" t="s">
        <v>309</v>
      </c>
      <c r="F3490" s="9">
        <v>37</v>
      </c>
      <c r="G3490" s="9">
        <v>377</v>
      </c>
      <c r="H3490" s="5" t="s">
        <v>21</v>
      </c>
      <c r="I3490" s="5" t="s">
        <v>8729</v>
      </c>
      <c r="J3490" s="12" t="str">
        <f>HYPERLINK("https://www.boe.es/gazeta/dias/1803/05/10/pdfs/GMD-1803-37.pdf#page=1","Abrir facsímil")</f>
        <v>Abrir facsímil</v>
      </c>
      <c r="K3490" s="15" t="s">
        <v>23</v>
      </c>
    </row>
    <row r="3491" spans="1:11" ht="42" customHeight="1">
      <c r="A3491" s="4" t="s">
        <v>8730</v>
      </c>
      <c r="B3491" s="5" t="s">
        <v>8731</v>
      </c>
      <c r="C3491" s="5" t="s">
        <v>26</v>
      </c>
      <c r="D3491" s="5" t="s">
        <v>27</v>
      </c>
      <c r="E3491" s="5" t="s">
        <v>88</v>
      </c>
      <c r="F3491" s="9">
        <v>18</v>
      </c>
      <c r="G3491" s="9">
        <v>188</v>
      </c>
      <c r="H3491" s="5" t="s">
        <v>21</v>
      </c>
      <c r="I3491" s="5" t="s">
        <v>8732</v>
      </c>
      <c r="J3491" s="12" t="str">
        <f>HYPERLINK("https://www.boe.es/gazeta/dias/1803/03/04/pdfs/GMD-1803-18.pdf#page=8","Abrir facsímil")</f>
        <v>Abrir facsímil</v>
      </c>
      <c r="K3491" s="15" t="s">
        <v>23</v>
      </c>
    </row>
    <row r="3492" spans="1:11" ht="42" customHeight="1">
      <c r="A3492" s="4" t="s">
        <v>8733</v>
      </c>
      <c r="B3492" s="5" t="s">
        <v>8734</v>
      </c>
      <c r="C3492" s="5" t="s">
        <v>26</v>
      </c>
      <c r="D3492" s="5" t="s">
        <v>27</v>
      </c>
      <c r="E3492" s="5" t="s">
        <v>57</v>
      </c>
      <c r="F3492" s="9">
        <v>51</v>
      </c>
      <c r="G3492" s="9">
        <v>553</v>
      </c>
      <c r="H3492" s="5" t="s">
        <v>21</v>
      </c>
      <c r="I3492" s="5" t="s">
        <v>8735</v>
      </c>
      <c r="J3492" s="12" t="str">
        <f>HYPERLINK("https://www.boe.es/gazeta/dias/1803/06/28/pdfs/GMD-1803-51.pdf#page=9","Abrir facsímil")</f>
        <v>Abrir facsímil</v>
      </c>
      <c r="K3492" s="15" t="s">
        <v>23</v>
      </c>
    </row>
    <row r="3493" spans="1:11" ht="42" customHeight="1">
      <c r="A3493" s="4" t="s">
        <v>8736</v>
      </c>
      <c r="B3493" s="5" t="s">
        <v>8737</v>
      </c>
      <c r="C3493" s="5" t="s">
        <v>51</v>
      </c>
      <c r="D3493" s="5" t="s">
        <v>52</v>
      </c>
      <c r="E3493" s="5" t="s">
        <v>77</v>
      </c>
      <c r="F3493" s="9">
        <v>64</v>
      </c>
      <c r="G3493" s="9">
        <v>700</v>
      </c>
      <c r="H3493" s="5" t="s">
        <v>21</v>
      </c>
      <c r="I3493" s="5" t="s">
        <v>8738</v>
      </c>
      <c r="J3493" s="12" t="str">
        <f>HYPERLINK("https://www.boe.es/gazeta/dias/1803/08/12/pdfs/GMD-1803-64.pdf#page=8","Abrir facsímil")</f>
        <v>Abrir facsímil</v>
      </c>
      <c r="K3493" s="15" t="s">
        <v>23</v>
      </c>
    </row>
    <row r="3494" spans="1:11" ht="42" customHeight="1">
      <c r="A3494" s="4" t="s">
        <v>8739</v>
      </c>
      <c r="B3494" s="5" t="s">
        <v>8740</v>
      </c>
      <c r="C3494" s="5" t="s">
        <v>51</v>
      </c>
      <c r="D3494" s="5" t="s">
        <v>52</v>
      </c>
      <c r="E3494" s="5" t="s">
        <v>109</v>
      </c>
      <c r="F3494" s="9">
        <v>102</v>
      </c>
      <c r="G3494" s="9">
        <v>1096</v>
      </c>
      <c r="H3494" s="5" t="s">
        <v>21</v>
      </c>
      <c r="I3494" s="5" t="s">
        <v>8741</v>
      </c>
      <c r="J3494" s="12" t="str">
        <f>HYPERLINK("https://www.boe.es/gazeta/dias/1803/12/20/pdfs/GMD-1803-102.pdf#page=8","Abrir facsímil")</f>
        <v>Abrir facsímil</v>
      </c>
      <c r="K3494" s="15" t="s">
        <v>23</v>
      </c>
    </row>
    <row r="3495" spans="1:11" ht="42" customHeight="1">
      <c r="A3495" s="4" t="s">
        <v>8742</v>
      </c>
      <c r="B3495" s="5" t="s">
        <v>8743</v>
      </c>
      <c r="C3495" s="5" t="s">
        <v>80</v>
      </c>
      <c r="D3495" s="5" t="s">
        <v>81</v>
      </c>
      <c r="E3495" s="5" t="s">
        <v>53</v>
      </c>
      <c r="F3495" s="9">
        <v>99</v>
      </c>
      <c r="G3495" s="9">
        <v>1060</v>
      </c>
      <c r="H3495" s="5" t="s">
        <v>21</v>
      </c>
      <c r="I3495" s="5" t="s">
        <v>8744</v>
      </c>
      <c r="J3495" s="12" t="str">
        <f>HYPERLINK("https://www.boe.es/gazeta/dias/1803/12/09/pdfs/GMD-1803-99.pdf#page=8","Abrir facsímil")</f>
        <v>Abrir facsímil</v>
      </c>
      <c r="K3495" s="15" t="s">
        <v>23</v>
      </c>
    </row>
    <row r="3496" spans="1:11" ht="42" customHeight="1">
      <c r="A3496" s="4" t="s">
        <v>8745</v>
      </c>
      <c r="B3496" s="5" t="s">
        <v>8746</v>
      </c>
      <c r="C3496" s="5" t="s">
        <v>874</v>
      </c>
      <c r="D3496" s="5" t="s">
        <v>875</v>
      </c>
      <c r="E3496" s="5" t="s">
        <v>480</v>
      </c>
      <c r="F3496" s="9">
        <v>87</v>
      </c>
      <c r="G3496" s="9" t="s">
        <v>876</v>
      </c>
      <c r="H3496" s="5" t="s">
        <v>21</v>
      </c>
      <c r="I3496" s="5" t="s">
        <v>8747</v>
      </c>
      <c r="J3496" s="12" t="str">
        <f>HYPERLINK("https://www.boe.es/gazeta/dias/1803/10/28/pdfs/GMD-C-1803-87.pdf#page=1","Abrir facsímil")</f>
        <v>Abrir facsímil</v>
      </c>
      <c r="K3496" s="15" t="s">
        <v>23</v>
      </c>
    </row>
    <row r="3497" spans="1:11" ht="42" customHeight="1">
      <c r="A3497" s="4" t="s">
        <v>8748</v>
      </c>
      <c r="B3497" s="5" t="s">
        <v>8748</v>
      </c>
      <c r="C3497" s="5" t="s">
        <v>40</v>
      </c>
      <c r="D3497" s="5" t="s">
        <v>41</v>
      </c>
      <c r="E3497" s="5" t="s">
        <v>373</v>
      </c>
      <c r="F3497" s="9">
        <v>77</v>
      </c>
      <c r="G3497" s="9">
        <v>825</v>
      </c>
      <c r="H3497" s="5" t="s">
        <v>21</v>
      </c>
      <c r="I3497" s="5" t="s">
        <v>8749</v>
      </c>
      <c r="J3497" s="12" t="str">
        <f>HYPERLINK("https://www.boe.es/gazeta/dias/1803/09/23/pdfs/GMD-1803-77.pdf#page=1","Abrir facsímil")</f>
        <v>Abrir facsímil</v>
      </c>
      <c r="K3497" s="15" t="s">
        <v>23</v>
      </c>
    </row>
    <row r="3498" spans="1:11" ht="42" customHeight="1">
      <c r="A3498" s="4" t="s">
        <v>8750</v>
      </c>
      <c r="B3498" s="5" t="s">
        <v>8751</v>
      </c>
      <c r="C3498" s="5" t="s">
        <v>51</v>
      </c>
      <c r="D3498" s="5" t="s">
        <v>52</v>
      </c>
      <c r="E3498" s="5" t="s">
        <v>109</v>
      </c>
      <c r="F3498" s="9">
        <v>102</v>
      </c>
      <c r="G3498" s="9">
        <v>1096</v>
      </c>
      <c r="H3498" s="5" t="s">
        <v>21</v>
      </c>
      <c r="I3498" s="5" t="s">
        <v>8752</v>
      </c>
      <c r="J3498" s="12" t="str">
        <f>HYPERLINK("https://www.boe.es/gazeta/dias/1803/12/20/pdfs/GMD-1803-102.pdf#page=8","Abrir facsímil")</f>
        <v>Abrir facsímil</v>
      </c>
      <c r="K3498" s="15" t="s">
        <v>23</v>
      </c>
    </row>
    <row r="3499" spans="1:11" ht="42" customHeight="1">
      <c r="A3499" s="4" t="s">
        <v>8753</v>
      </c>
      <c r="B3499" s="5" t="s">
        <v>8754</v>
      </c>
      <c r="C3499" s="5" t="s">
        <v>18</v>
      </c>
      <c r="D3499" s="5" t="s">
        <v>19</v>
      </c>
      <c r="E3499" s="5" t="s">
        <v>278</v>
      </c>
      <c r="F3499" s="9">
        <v>46</v>
      </c>
      <c r="G3499" s="9">
        <v>485</v>
      </c>
      <c r="H3499" s="5" t="s">
        <v>21</v>
      </c>
      <c r="I3499" s="5" t="s">
        <v>8755</v>
      </c>
      <c r="J3499" s="12" t="str">
        <f>HYPERLINK("https://www.boe.es/gazeta/dias/1803/06/10/pdfs/GMD-1803-46.pdf#page=9","Abrir facsímil")</f>
        <v>Abrir facsímil</v>
      </c>
      <c r="K3499" s="15" t="s">
        <v>23</v>
      </c>
    </row>
    <row r="3500" spans="1:11" ht="42" customHeight="1">
      <c r="A3500" s="4" t="s">
        <v>8756</v>
      </c>
      <c r="B3500" s="5" t="s">
        <v>8756</v>
      </c>
      <c r="C3500" s="5" t="s">
        <v>46</v>
      </c>
      <c r="D3500" s="5" t="s">
        <v>19</v>
      </c>
      <c r="E3500" s="5" t="s">
        <v>47</v>
      </c>
      <c r="F3500" s="9">
        <v>33</v>
      </c>
      <c r="G3500" s="9">
        <v>349</v>
      </c>
      <c r="H3500" s="5" t="s">
        <v>21</v>
      </c>
      <c r="I3500" s="5" t="s">
        <v>8757</v>
      </c>
      <c r="J3500" s="12" t="str">
        <f>HYPERLINK("https://www.boe.es/gazeta/dias/1803/04/26/pdfs/GMD-1803-33.pdf#page=9","Abrir facsímil")</f>
        <v>Abrir facsímil</v>
      </c>
      <c r="K3500" s="15" t="s">
        <v>23</v>
      </c>
    </row>
    <row r="3501" spans="1:11" ht="42" customHeight="1">
      <c r="A3501" s="4" t="s">
        <v>8758</v>
      </c>
      <c r="B3501" s="5" t="s">
        <v>8759</v>
      </c>
      <c r="C3501" s="5" t="s">
        <v>26</v>
      </c>
      <c r="D3501" s="5" t="s">
        <v>27</v>
      </c>
      <c r="E3501" s="5" t="s">
        <v>71</v>
      </c>
      <c r="F3501" s="9">
        <v>39</v>
      </c>
      <c r="G3501" s="9">
        <v>412</v>
      </c>
      <c r="H3501" s="5" t="s">
        <v>21</v>
      </c>
      <c r="I3501" s="5" t="s">
        <v>8760</v>
      </c>
      <c r="J3501" s="12" t="str">
        <f>HYPERLINK("https://www.boe.es/gazeta/dias/1803/05/17/pdfs/GMD-1803-39.pdf#page=8","Abrir facsímil")</f>
        <v>Abrir facsímil</v>
      </c>
      <c r="K3501" s="15" t="s">
        <v>23</v>
      </c>
    </row>
    <row r="3502" spans="1:11" ht="42" customHeight="1">
      <c r="A3502" s="4" t="s">
        <v>8761</v>
      </c>
      <c r="B3502" s="5" t="s">
        <v>8762</v>
      </c>
      <c r="C3502" s="5" t="s">
        <v>18</v>
      </c>
      <c r="D3502" s="5" t="s">
        <v>19</v>
      </c>
      <c r="E3502" s="5" t="s">
        <v>795</v>
      </c>
      <c r="F3502" s="9">
        <v>98</v>
      </c>
      <c r="G3502" s="9">
        <v>1050</v>
      </c>
      <c r="H3502" s="5" t="s">
        <v>21</v>
      </c>
      <c r="I3502" s="5" t="s">
        <v>8763</v>
      </c>
      <c r="J3502" s="12" t="str">
        <f>HYPERLINK("https://www.boe.es/gazeta/dias/1803/12/06/pdfs/GMD-1803-98.pdf#page=6","Abrir facsímil")</f>
        <v>Abrir facsímil</v>
      </c>
      <c r="K3502" s="15" t="s">
        <v>23</v>
      </c>
    </row>
    <row r="3503" spans="1:11" ht="42" customHeight="1">
      <c r="A3503" s="4" t="s">
        <v>8764</v>
      </c>
      <c r="B3503" s="5" t="s">
        <v>8764</v>
      </c>
      <c r="C3503" s="5" t="s">
        <v>51</v>
      </c>
      <c r="D3503" s="5" t="s">
        <v>52</v>
      </c>
      <c r="E3503" s="5" t="s">
        <v>373</v>
      </c>
      <c r="F3503" s="9">
        <v>77</v>
      </c>
      <c r="G3503" s="9">
        <v>833</v>
      </c>
      <c r="H3503" s="5" t="s">
        <v>21</v>
      </c>
      <c r="I3503" s="5" t="s">
        <v>8765</v>
      </c>
      <c r="J3503" s="12" t="str">
        <f>HYPERLINK("https://www.boe.es/gazeta/dias/1803/09/23/pdfs/GMD-1803-77.pdf#page=9","Abrir facsímil")</f>
        <v>Abrir facsímil</v>
      </c>
      <c r="K3503" s="15" t="s">
        <v>23</v>
      </c>
    </row>
    <row r="3504" spans="1:11" ht="42" customHeight="1">
      <c r="A3504" s="4" t="s">
        <v>8766</v>
      </c>
      <c r="B3504" s="5" t="s">
        <v>8766</v>
      </c>
      <c r="C3504" s="5" t="s">
        <v>26</v>
      </c>
      <c r="D3504" s="5" t="s">
        <v>27</v>
      </c>
      <c r="E3504" s="5" t="s">
        <v>218</v>
      </c>
      <c r="F3504" s="9">
        <v>19</v>
      </c>
      <c r="G3504" s="9">
        <v>201</v>
      </c>
      <c r="H3504" s="5" t="s">
        <v>21</v>
      </c>
      <c r="I3504" s="5" t="s">
        <v>8767</v>
      </c>
      <c r="J3504" s="12" t="str">
        <f>HYPERLINK("https://www.boe.es/gazeta/dias/1803/03/08/pdfs/GMD-1803-19.pdf#page=9","Abrir facsímil")</f>
        <v>Abrir facsímil</v>
      </c>
      <c r="K3504" s="15" t="s">
        <v>23</v>
      </c>
    </row>
    <row r="3505" spans="1:11" ht="42" customHeight="1">
      <c r="A3505" s="4" t="s">
        <v>8768</v>
      </c>
      <c r="B3505" s="5" t="s">
        <v>8769</v>
      </c>
      <c r="C3505" s="5" t="s">
        <v>80</v>
      </c>
      <c r="D3505" s="5" t="s">
        <v>81</v>
      </c>
      <c r="E3505" s="5" t="s">
        <v>403</v>
      </c>
      <c r="F3505" s="9">
        <v>91</v>
      </c>
      <c r="G3505" s="9">
        <v>979</v>
      </c>
      <c r="H3505" s="5" t="s">
        <v>21</v>
      </c>
      <c r="I3505" s="5" t="s">
        <v>8770</v>
      </c>
      <c r="J3505" s="12" t="str">
        <f>HYPERLINK("https://www.boe.es/gazeta/dias/1803/11/11/pdfs/GMD-1803-91.pdf#page=11","Abrir facsímil")</f>
        <v>Abrir facsímil</v>
      </c>
      <c r="K3505" s="15" t="s">
        <v>23</v>
      </c>
    </row>
    <row r="3506" spans="1:11" ht="42" customHeight="1">
      <c r="A3506" s="4" t="s">
        <v>8771</v>
      </c>
      <c r="B3506" s="5" t="s">
        <v>8771</v>
      </c>
      <c r="C3506" s="5" t="s">
        <v>26</v>
      </c>
      <c r="D3506" s="5" t="s">
        <v>27</v>
      </c>
      <c r="E3506" s="5" t="s">
        <v>328</v>
      </c>
      <c r="F3506" s="9">
        <v>54</v>
      </c>
      <c r="G3506" s="9">
        <v>590</v>
      </c>
      <c r="H3506" s="5" t="s">
        <v>21</v>
      </c>
      <c r="I3506" s="5" t="s">
        <v>8772</v>
      </c>
      <c r="J3506" s="12" t="str">
        <f>HYPERLINK("https://www.boe.es/gazeta/dias/1803/07/08/pdfs/GMD-1803-54.pdf#page=10","Abrir facsímil")</f>
        <v>Abrir facsímil</v>
      </c>
      <c r="K3506" s="15" t="s">
        <v>23</v>
      </c>
    </row>
    <row r="3507" spans="1:11" ht="42" customHeight="1">
      <c r="A3507" s="4" t="s">
        <v>8773</v>
      </c>
      <c r="B3507" s="5" t="s">
        <v>8773</v>
      </c>
      <c r="C3507" s="5" t="s">
        <v>26</v>
      </c>
      <c r="D3507" s="5" t="s">
        <v>27</v>
      </c>
      <c r="E3507" s="5" t="s">
        <v>369</v>
      </c>
      <c r="F3507" s="9">
        <v>100</v>
      </c>
      <c r="G3507" s="9">
        <v>1072</v>
      </c>
      <c r="H3507" s="5" t="s">
        <v>21</v>
      </c>
      <c r="I3507" s="5" t="s">
        <v>8774</v>
      </c>
      <c r="J3507" s="12" t="str">
        <f>HYPERLINK("https://www.boe.es/gazeta/dias/1803/12/13/pdfs/GMD-1803-100.pdf#page=8","Abrir facsímil")</f>
        <v>Abrir facsímil</v>
      </c>
      <c r="K3507" s="15" t="s">
        <v>23</v>
      </c>
    </row>
    <row r="3508" spans="1:11" ht="42" customHeight="1">
      <c r="A3508" s="4" t="s">
        <v>8775</v>
      </c>
      <c r="B3508" s="5" t="s">
        <v>8776</v>
      </c>
      <c r="C3508" s="5" t="s">
        <v>26</v>
      </c>
      <c r="D3508" s="5" t="s">
        <v>27</v>
      </c>
      <c r="E3508" s="5" t="s">
        <v>88</v>
      </c>
      <c r="F3508" s="9">
        <v>18</v>
      </c>
      <c r="G3508" s="9">
        <v>188</v>
      </c>
      <c r="H3508" s="5" t="s">
        <v>21</v>
      </c>
      <c r="I3508" s="5" t="s">
        <v>8777</v>
      </c>
      <c r="J3508" s="12" t="str">
        <f>HYPERLINK("https://www.boe.es/gazeta/dias/1803/03/04/pdfs/GMD-1803-18.pdf#page=8","Abrir facsímil")</f>
        <v>Abrir facsímil</v>
      </c>
      <c r="K3508" s="15" t="s">
        <v>23</v>
      </c>
    </row>
    <row r="3509" spans="1:11" ht="42" customHeight="1">
      <c r="A3509" s="4" t="s">
        <v>8778</v>
      </c>
      <c r="B3509" s="5" t="s">
        <v>8779</v>
      </c>
      <c r="C3509" s="5" t="s">
        <v>26</v>
      </c>
      <c r="D3509" s="5" t="s">
        <v>27</v>
      </c>
      <c r="E3509" s="5" t="s">
        <v>117</v>
      </c>
      <c r="F3509" s="9">
        <v>59</v>
      </c>
      <c r="G3509" s="9">
        <v>646</v>
      </c>
      <c r="H3509" s="5" t="s">
        <v>21</v>
      </c>
      <c r="I3509" s="5" t="s">
        <v>8780</v>
      </c>
      <c r="J3509" s="12" t="str">
        <f>HYPERLINK("https://www.boe.es/gazeta/dias/1803/07/26/pdfs/GMD-1803-59.pdf#page=6","Abrir facsímil")</f>
        <v>Abrir facsímil</v>
      </c>
      <c r="K3509" s="15" t="s">
        <v>23</v>
      </c>
    </row>
    <row r="3510" spans="1:11" ht="42" customHeight="1">
      <c r="A3510" s="4" t="s">
        <v>8781</v>
      </c>
      <c r="B3510" s="5" t="s">
        <v>8782</v>
      </c>
      <c r="C3510" s="5" t="s">
        <v>18</v>
      </c>
      <c r="D3510" s="5" t="s">
        <v>19</v>
      </c>
      <c r="E3510" s="5" t="s">
        <v>373</v>
      </c>
      <c r="F3510" s="9">
        <v>77</v>
      </c>
      <c r="G3510" s="9">
        <v>833</v>
      </c>
      <c r="H3510" s="5" t="s">
        <v>21</v>
      </c>
      <c r="I3510" s="5" t="s">
        <v>8783</v>
      </c>
      <c r="J3510" s="12" t="str">
        <f>HYPERLINK("https://www.boe.es/gazeta/dias/1803/09/23/pdfs/GMD-1803-77.pdf#page=9","Abrir facsímil")</f>
        <v>Abrir facsímil</v>
      </c>
      <c r="K3510" s="15" t="s">
        <v>23</v>
      </c>
    </row>
    <row r="3511" spans="1:11" ht="42" customHeight="1">
      <c r="A3511" s="4" t="s">
        <v>8784</v>
      </c>
      <c r="B3511" s="5" t="s">
        <v>8785</v>
      </c>
      <c r="C3511" s="5" t="s">
        <v>80</v>
      </c>
      <c r="D3511" s="5" t="s">
        <v>81</v>
      </c>
      <c r="E3511" s="5" t="s">
        <v>164</v>
      </c>
      <c r="F3511" s="9">
        <v>84</v>
      </c>
      <c r="G3511" s="9">
        <v>901</v>
      </c>
      <c r="H3511" s="5" t="s">
        <v>21</v>
      </c>
      <c r="I3511" s="5" t="s">
        <v>8786</v>
      </c>
      <c r="J3511" s="12" t="str">
        <f>HYPERLINK("https://www.boe.es/gazeta/dias/1803/10/18/pdfs/GMD-1803-84.pdf#page=5","Abrir facsímil")</f>
        <v>Abrir facsímil</v>
      </c>
      <c r="K3511" s="15" t="s">
        <v>23</v>
      </c>
    </row>
    <row r="3512" spans="1:11" ht="42" customHeight="1">
      <c r="A3512" s="4" t="s">
        <v>8787</v>
      </c>
      <c r="B3512" s="5" t="s">
        <v>8788</v>
      </c>
      <c r="C3512" s="5" t="s">
        <v>26</v>
      </c>
      <c r="D3512" s="5" t="s">
        <v>27</v>
      </c>
      <c r="E3512" s="5" t="s">
        <v>403</v>
      </c>
      <c r="F3512" s="9">
        <v>91</v>
      </c>
      <c r="G3512" s="9">
        <v>977</v>
      </c>
      <c r="H3512" s="5" t="s">
        <v>21</v>
      </c>
      <c r="I3512" s="5" t="s">
        <v>8789</v>
      </c>
      <c r="J3512" s="12" t="str">
        <f>HYPERLINK("https://www.boe.es/gazeta/dias/1803/11/11/pdfs/GMD-1803-91.pdf#page=9","Abrir facsímil")</f>
        <v>Abrir facsímil</v>
      </c>
      <c r="K3512" s="15" t="s">
        <v>23</v>
      </c>
    </row>
    <row r="3513" spans="1:11" ht="42" customHeight="1">
      <c r="A3513" s="4" t="s">
        <v>8790</v>
      </c>
      <c r="B3513" s="5" t="s">
        <v>8790</v>
      </c>
      <c r="C3513" s="5" t="s">
        <v>51</v>
      </c>
      <c r="D3513" s="5" t="s">
        <v>52</v>
      </c>
      <c r="E3513" s="5" t="s">
        <v>340</v>
      </c>
      <c r="F3513" s="9">
        <v>55</v>
      </c>
      <c r="G3513" s="9">
        <v>598</v>
      </c>
      <c r="H3513" s="5" t="s">
        <v>21</v>
      </c>
      <c r="I3513" s="5" t="s">
        <v>8791</v>
      </c>
      <c r="J3513" s="12" t="str">
        <f>HYPERLINK("https://www.boe.es/gazeta/dias/1803/07/12/pdfs/GMD-1803-55.pdf#page=6","Abrir facsímil")</f>
        <v>Abrir facsímil</v>
      </c>
      <c r="K3513" s="15" t="s">
        <v>23</v>
      </c>
    </row>
    <row r="3514" spans="1:11" ht="42" customHeight="1">
      <c r="A3514" s="4" t="s">
        <v>8792</v>
      </c>
      <c r="B3514" s="5" t="s">
        <v>8792</v>
      </c>
      <c r="C3514" s="5" t="s">
        <v>26</v>
      </c>
      <c r="D3514" s="5" t="s">
        <v>27</v>
      </c>
      <c r="E3514" s="5" t="s">
        <v>148</v>
      </c>
      <c r="F3514" s="9">
        <v>15</v>
      </c>
      <c r="G3514" s="9">
        <v>158</v>
      </c>
      <c r="H3514" s="5" t="s">
        <v>21</v>
      </c>
      <c r="I3514" s="5" t="s">
        <v>8793</v>
      </c>
      <c r="J3514" s="12" t="str">
        <f>HYPERLINK("https://www.boe.es/gazeta/dias/1803/02/22/pdfs/GMD-1803-15.pdf#page=10","Abrir facsímil")</f>
        <v>Abrir facsímil</v>
      </c>
      <c r="K3514" s="15" t="s">
        <v>23</v>
      </c>
    </row>
    <row r="3515" spans="1:11" ht="42" customHeight="1">
      <c r="A3515" s="4" t="s">
        <v>8792</v>
      </c>
      <c r="B3515" s="5" t="s">
        <v>8792</v>
      </c>
      <c r="C3515" s="5" t="s">
        <v>26</v>
      </c>
      <c r="D3515" s="5" t="s">
        <v>27</v>
      </c>
      <c r="E3515" s="5" t="s">
        <v>1846</v>
      </c>
      <c r="F3515" s="9">
        <v>89</v>
      </c>
      <c r="G3515" s="9">
        <v>959</v>
      </c>
      <c r="H3515" s="5" t="s">
        <v>21</v>
      </c>
      <c r="I3515" s="5" t="s">
        <v>8794</v>
      </c>
      <c r="J3515" s="12" t="str">
        <f>HYPERLINK("https://www.boe.es/gazeta/dias/1803/11/04/pdfs/GMD-1803-89.pdf#page=7","Abrir facsímil")</f>
        <v>Abrir facsímil</v>
      </c>
      <c r="K3515" s="15" t="s">
        <v>23</v>
      </c>
    </row>
    <row r="3516" spans="1:11" ht="42" customHeight="1">
      <c r="A3516" s="4" t="s">
        <v>8795</v>
      </c>
      <c r="B3516" s="5" t="s">
        <v>8795</v>
      </c>
      <c r="C3516" s="5" t="s">
        <v>26</v>
      </c>
      <c r="D3516" s="5" t="s">
        <v>27</v>
      </c>
      <c r="E3516" s="5" t="s">
        <v>321</v>
      </c>
      <c r="F3516" s="9">
        <v>94</v>
      </c>
      <c r="G3516" s="9">
        <v>1010</v>
      </c>
      <c r="H3516" s="5" t="s">
        <v>21</v>
      </c>
      <c r="I3516" s="5" t="s">
        <v>8796</v>
      </c>
      <c r="J3516" s="12" t="str">
        <f>HYPERLINK("https://www.boe.es/gazeta/dias/1803/11/22/pdfs/GMD-1803-94.pdf#page=10","Abrir facsímil")</f>
        <v>Abrir facsímil</v>
      </c>
      <c r="K3516" s="15" t="s">
        <v>23</v>
      </c>
    </row>
    <row r="3517" spans="1:11" ht="42" customHeight="1">
      <c r="A3517" s="4" t="s">
        <v>8797</v>
      </c>
      <c r="B3517" s="5" t="s">
        <v>8797</v>
      </c>
      <c r="C3517" s="5" t="s">
        <v>26</v>
      </c>
      <c r="D3517" s="5" t="s">
        <v>27</v>
      </c>
      <c r="E3517" s="5" t="s">
        <v>373</v>
      </c>
      <c r="F3517" s="9">
        <v>77</v>
      </c>
      <c r="G3517" s="9">
        <v>834</v>
      </c>
      <c r="H3517" s="5" t="s">
        <v>21</v>
      </c>
      <c r="I3517" s="5" t="s">
        <v>8798</v>
      </c>
      <c r="J3517" s="12" t="str">
        <f>HYPERLINK("https://www.boe.es/gazeta/dias/1803/09/23/pdfs/GMD-1803-77.pdf#page=10","Abrir facsímil")</f>
        <v>Abrir facsímil</v>
      </c>
      <c r="K3517" s="15" t="s">
        <v>23</v>
      </c>
    </row>
    <row r="3518" spans="1:11" ht="42" customHeight="1">
      <c r="A3518" s="4" t="s">
        <v>8799</v>
      </c>
      <c r="B3518" s="5" t="s">
        <v>8799</v>
      </c>
      <c r="C3518" s="5" t="s">
        <v>80</v>
      </c>
      <c r="D3518" s="5" t="s">
        <v>81</v>
      </c>
      <c r="E3518" s="5" t="s">
        <v>53</v>
      </c>
      <c r="F3518" s="9">
        <v>99</v>
      </c>
      <c r="G3518" s="9">
        <v>1064</v>
      </c>
      <c r="H3518" s="5" t="s">
        <v>21</v>
      </c>
      <c r="I3518" s="5" t="s">
        <v>8800</v>
      </c>
      <c r="J3518" s="12" t="str">
        <f>HYPERLINK("https://www.boe.es/gazeta/dias/1803/12/09/pdfs/GMD-1803-99.pdf#page=12","Abrir facsímil")</f>
        <v>Abrir facsímil</v>
      </c>
      <c r="K3518" s="15" t="s">
        <v>23</v>
      </c>
    </row>
    <row r="3519" spans="1:11" ht="42" customHeight="1">
      <c r="A3519" s="4" t="s">
        <v>8801</v>
      </c>
      <c r="B3519" s="5" t="s">
        <v>8802</v>
      </c>
      <c r="C3519" s="5" t="s">
        <v>40</v>
      </c>
      <c r="D3519" s="5" t="s">
        <v>41</v>
      </c>
      <c r="E3519" s="5" t="s">
        <v>93</v>
      </c>
      <c r="F3519" s="9">
        <v>43</v>
      </c>
      <c r="G3519" s="9">
        <v>446</v>
      </c>
      <c r="H3519" s="5" t="s">
        <v>21</v>
      </c>
      <c r="I3519" s="5" t="s">
        <v>8803</v>
      </c>
      <c r="J3519" s="12" t="str">
        <f>HYPERLINK("https://www.boe.es/gazeta/dias/1803/05/31/pdfs/GMD-1803-43.pdf#page=6","Abrir facsímil")</f>
        <v>Abrir facsímil</v>
      </c>
      <c r="K3519" s="15" t="s">
        <v>23</v>
      </c>
    </row>
    <row r="3520" spans="1:11" ht="42" customHeight="1">
      <c r="A3520" s="4" t="s">
        <v>8804</v>
      </c>
      <c r="B3520" s="5" t="s">
        <v>8804</v>
      </c>
      <c r="C3520" s="5" t="s">
        <v>26</v>
      </c>
      <c r="D3520" s="5" t="s">
        <v>27</v>
      </c>
      <c r="E3520" s="5" t="s">
        <v>88</v>
      </c>
      <c r="F3520" s="9">
        <v>18</v>
      </c>
      <c r="G3520" s="9">
        <v>187</v>
      </c>
      <c r="H3520" s="5" t="s">
        <v>21</v>
      </c>
      <c r="I3520" s="5" t="s">
        <v>8805</v>
      </c>
      <c r="J3520" s="12" t="str">
        <f>HYPERLINK("https://www.boe.es/gazeta/dias/1803/03/04/pdfs/GMD-1803-18.pdf#page=7","Abrir facsímil")</f>
        <v>Abrir facsímil</v>
      </c>
      <c r="K3520" s="15" t="s">
        <v>23</v>
      </c>
    </row>
    <row r="3521" spans="1:11" ht="42" customHeight="1">
      <c r="A3521" s="4" t="s">
        <v>8806</v>
      </c>
      <c r="B3521" s="5" t="s">
        <v>8806</v>
      </c>
      <c r="C3521" s="5" t="s">
        <v>26</v>
      </c>
      <c r="D3521" s="5" t="s">
        <v>27</v>
      </c>
      <c r="E3521" s="5" t="s">
        <v>373</v>
      </c>
      <c r="F3521" s="9">
        <v>77</v>
      </c>
      <c r="G3521" s="9">
        <v>834</v>
      </c>
      <c r="H3521" s="5" t="s">
        <v>21</v>
      </c>
      <c r="I3521" s="5" t="s">
        <v>8807</v>
      </c>
      <c r="J3521" s="12" t="str">
        <f>HYPERLINK("https://www.boe.es/gazeta/dias/1803/09/23/pdfs/GMD-1803-77.pdf#page=10","Abrir facsímil")</f>
        <v>Abrir facsímil</v>
      </c>
      <c r="K3521" s="15" t="s">
        <v>23</v>
      </c>
    </row>
    <row r="3522" spans="1:11" ht="42" customHeight="1">
      <c r="A3522" s="4" t="s">
        <v>8808</v>
      </c>
      <c r="B3522" s="5" t="s">
        <v>8809</v>
      </c>
      <c r="C3522" s="5" t="s">
        <v>26</v>
      </c>
      <c r="D3522" s="5" t="s">
        <v>27</v>
      </c>
      <c r="E3522" s="5" t="s">
        <v>403</v>
      </c>
      <c r="F3522" s="9">
        <v>91</v>
      </c>
      <c r="G3522" s="9">
        <v>977</v>
      </c>
      <c r="H3522" s="5" t="s">
        <v>21</v>
      </c>
      <c r="I3522" s="5" t="s">
        <v>8810</v>
      </c>
      <c r="J3522" s="12" t="str">
        <f>HYPERLINK("https://www.boe.es/gazeta/dias/1803/11/11/pdfs/GMD-1803-91.pdf#page=9","Abrir facsímil")</f>
        <v>Abrir facsímil</v>
      </c>
      <c r="K3522" s="15" t="s">
        <v>23</v>
      </c>
    </row>
    <row r="3523" spans="1:11" ht="42" customHeight="1">
      <c r="A3523" s="4" t="s">
        <v>8811</v>
      </c>
      <c r="B3523" s="5" t="s">
        <v>8812</v>
      </c>
      <c r="C3523" s="5" t="s">
        <v>40</v>
      </c>
      <c r="D3523" s="5" t="s">
        <v>41</v>
      </c>
      <c r="E3523" s="5" t="s">
        <v>261</v>
      </c>
      <c r="F3523" s="9">
        <v>70</v>
      </c>
      <c r="G3523" s="9">
        <v>761</v>
      </c>
      <c r="H3523" s="5" t="s">
        <v>21</v>
      </c>
      <c r="I3523" s="5" t="s">
        <v>8813</v>
      </c>
      <c r="J3523" s="12" t="str">
        <f>HYPERLINK("https://www.boe.es/gazeta/dias/1803/09/02/pdfs/GMD-1803-70.pdf#page=1","Abrir facsímil")</f>
        <v>Abrir facsímil</v>
      </c>
      <c r="K3523" s="15" t="s">
        <v>23</v>
      </c>
    </row>
    <row r="3524" spans="1:11" ht="42" customHeight="1">
      <c r="A3524" s="4" t="s">
        <v>8814</v>
      </c>
      <c r="B3524" s="5" t="s">
        <v>8815</v>
      </c>
      <c r="C3524" s="5" t="s">
        <v>26</v>
      </c>
      <c r="D3524" s="5" t="s">
        <v>27</v>
      </c>
      <c r="E3524" s="5" t="s">
        <v>156</v>
      </c>
      <c r="F3524" s="9">
        <v>2</v>
      </c>
      <c r="G3524" s="9">
        <v>17</v>
      </c>
      <c r="H3524" s="5" t="s">
        <v>21</v>
      </c>
      <c r="I3524" s="5" t="s">
        <v>8816</v>
      </c>
      <c r="J3524" s="12" t="str">
        <f>HYPERLINK("https://www.boe.es/gazeta/dias/1803/01/07/pdfs/GMD-1803-2.pdf#page=9","Abrir facsímil")</f>
        <v>Abrir facsímil</v>
      </c>
      <c r="K3524" s="15" t="s">
        <v>23</v>
      </c>
    </row>
    <row r="3525" spans="1:11" ht="42" customHeight="1">
      <c r="A3525" s="4" t="s">
        <v>8817</v>
      </c>
      <c r="B3525" s="5" t="s">
        <v>8818</v>
      </c>
      <c r="C3525" s="5" t="s">
        <v>26</v>
      </c>
      <c r="D3525" s="5" t="s">
        <v>27</v>
      </c>
      <c r="E3525" s="5" t="s">
        <v>53</v>
      </c>
      <c r="F3525" s="9">
        <v>99</v>
      </c>
      <c r="G3525" s="9">
        <v>1061</v>
      </c>
      <c r="H3525" s="5" t="s">
        <v>21</v>
      </c>
      <c r="I3525" s="5" t="s">
        <v>8819</v>
      </c>
      <c r="J3525" s="12" t="str">
        <f>HYPERLINK("https://www.boe.es/gazeta/dias/1803/12/09/pdfs/GMD-1803-99.pdf#page=9","Abrir facsímil")</f>
        <v>Abrir facsímil</v>
      </c>
      <c r="K3525" s="15" t="s">
        <v>23</v>
      </c>
    </row>
    <row r="3526" spans="1:11" ht="42" customHeight="1">
      <c r="A3526" s="4" t="s">
        <v>8820</v>
      </c>
      <c r="B3526" s="5" t="s">
        <v>8820</v>
      </c>
      <c r="C3526" s="5" t="s">
        <v>26</v>
      </c>
      <c r="D3526" s="5" t="s">
        <v>27</v>
      </c>
      <c r="E3526" s="5" t="s">
        <v>289</v>
      </c>
      <c r="F3526" s="9">
        <v>38</v>
      </c>
      <c r="G3526" s="9">
        <v>401</v>
      </c>
      <c r="H3526" s="5" t="s">
        <v>21</v>
      </c>
      <c r="I3526" s="5" t="s">
        <v>8821</v>
      </c>
      <c r="J3526" s="12" t="str">
        <f>HYPERLINK("https://www.boe.es/gazeta/dias/1803/05/13/pdfs/GMD-1803-38.pdf#page=9","Abrir facsímil")</f>
        <v>Abrir facsímil</v>
      </c>
      <c r="K3526" s="15" t="s">
        <v>23</v>
      </c>
    </row>
    <row r="3527" spans="1:11" ht="42" customHeight="1">
      <c r="A3527" s="4" t="s">
        <v>8822</v>
      </c>
      <c r="B3527" s="5" t="s">
        <v>8823</v>
      </c>
      <c r="C3527" s="5" t="s">
        <v>26</v>
      </c>
      <c r="D3527" s="5" t="s">
        <v>27</v>
      </c>
      <c r="E3527" s="5" t="s">
        <v>571</v>
      </c>
      <c r="F3527" s="9">
        <v>103</v>
      </c>
      <c r="G3527" s="9">
        <v>1105</v>
      </c>
      <c r="H3527" s="5" t="s">
        <v>21</v>
      </c>
      <c r="I3527" s="5" t="s">
        <v>8824</v>
      </c>
      <c r="J3527" s="12" t="str">
        <f>HYPERLINK("https://www.boe.es/gazeta/dias/1803/12/23/pdfs/GMD-1803-103.pdf#page=5","Abrir facsímil")</f>
        <v>Abrir facsímil</v>
      </c>
      <c r="K3527" s="15" t="s">
        <v>23</v>
      </c>
    </row>
    <row r="3528" spans="1:11" ht="42" customHeight="1">
      <c r="A3528" s="4" t="s">
        <v>8825</v>
      </c>
      <c r="B3528" s="5" t="s">
        <v>8826</v>
      </c>
      <c r="C3528" s="5" t="s">
        <v>26</v>
      </c>
      <c r="D3528" s="5" t="s">
        <v>27</v>
      </c>
      <c r="E3528" s="5" t="s">
        <v>113</v>
      </c>
      <c r="F3528" s="9">
        <v>93</v>
      </c>
      <c r="G3528" s="9">
        <v>995</v>
      </c>
      <c r="H3528" s="5" t="s">
        <v>21</v>
      </c>
      <c r="I3528" s="5" t="s">
        <v>8827</v>
      </c>
      <c r="J3528" s="12" t="str">
        <f>HYPERLINK("https://www.boe.es/gazeta/dias/1803/11/18/pdfs/GMD-1803-93.pdf#page=7","Abrir facsímil")</f>
        <v>Abrir facsímil</v>
      </c>
      <c r="K3528" s="15" t="s">
        <v>23</v>
      </c>
    </row>
    <row r="3529" spans="1:11" ht="42" customHeight="1">
      <c r="A3529" s="4" t="s">
        <v>8828</v>
      </c>
      <c r="B3529" s="5" t="s">
        <v>8828</v>
      </c>
      <c r="C3529" s="5" t="s">
        <v>26</v>
      </c>
      <c r="D3529" s="5" t="s">
        <v>27</v>
      </c>
      <c r="E3529" s="5" t="s">
        <v>152</v>
      </c>
      <c r="F3529" s="9">
        <v>16</v>
      </c>
      <c r="G3529" s="9">
        <v>166</v>
      </c>
      <c r="H3529" s="5" t="s">
        <v>21</v>
      </c>
      <c r="I3529" s="5" t="s">
        <v>8829</v>
      </c>
      <c r="J3529" s="12" t="str">
        <f>HYPERLINK("https://www.boe.es/gazeta/dias/1803/02/25/pdfs/GMD-1803-16.pdf#page=6","Abrir facsímil")</f>
        <v>Abrir facsímil</v>
      </c>
      <c r="K3529" s="15" t="s">
        <v>23</v>
      </c>
    </row>
    <row r="3530" spans="1:11" ht="42" customHeight="1">
      <c r="A3530" s="4" t="s">
        <v>8830</v>
      </c>
      <c r="B3530" s="5" t="s">
        <v>8830</v>
      </c>
      <c r="C3530" s="5" t="s">
        <v>18</v>
      </c>
      <c r="D3530" s="5" t="s">
        <v>19</v>
      </c>
      <c r="E3530" s="5" t="s">
        <v>278</v>
      </c>
      <c r="F3530" s="9">
        <v>46</v>
      </c>
      <c r="G3530" s="9">
        <v>486</v>
      </c>
      <c r="H3530" s="5" t="s">
        <v>21</v>
      </c>
      <c r="I3530" s="5" t="s">
        <v>8831</v>
      </c>
      <c r="J3530" s="12" t="str">
        <f>HYPERLINK("https://www.boe.es/gazeta/dias/1803/06/10/pdfs/GMD-1803-46.pdf#page=10","Abrir facsímil")</f>
        <v>Abrir facsímil</v>
      </c>
      <c r="K3530" s="15" t="s">
        <v>23</v>
      </c>
    </row>
    <row r="3531" spans="1:11" ht="42" customHeight="1">
      <c r="A3531" s="4" t="s">
        <v>8832</v>
      </c>
      <c r="B3531" s="5" t="s">
        <v>8832</v>
      </c>
      <c r="C3531" s="5" t="s">
        <v>26</v>
      </c>
      <c r="D3531" s="5" t="s">
        <v>27</v>
      </c>
      <c r="E3531" s="5" t="s">
        <v>501</v>
      </c>
      <c r="F3531" s="9">
        <v>22</v>
      </c>
      <c r="G3531" s="9">
        <v>237</v>
      </c>
      <c r="H3531" s="5" t="s">
        <v>21</v>
      </c>
      <c r="I3531" s="5" t="s">
        <v>8833</v>
      </c>
      <c r="J3531" s="12" t="str">
        <f>HYPERLINK("https://www.boe.es/gazeta/dias/1803/03/18/pdfs/GMD-1803-22.pdf#page=9","Abrir facsímil")</f>
        <v>Abrir facsímil</v>
      </c>
      <c r="K3531" s="15" t="s">
        <v>23</v>
      </c>
    </row>
    <row r="3532" spans="1:11" ht="42" customHeight="1">
      <c r="A3532" s="4" t="s">
        <v>8834</v>
      </c>
      <c r="B3532" s="5" t="s">
        <v>8834</v>
      </c>
      <c r="C3532" s="5" t="s">
        <v>26</v>
      </c>
      <c r="D3532" s="5" t="s">
        <v>27</v>
      </c>
      <c r="E3532" s="5" t="s">
        <v>191</v>
      </c>
      <c r="F3532" s="9">
        <v>34</v>
      </c>
      <c r="G3532" s="9">
        <v>358</v>
      </c>
      <c r="H3532" s="5" t="s">
        <v>21</v>
      </c>
      <c r="I3532" s="5" t="s">
        <v>8835</v>
      </c>
      <c r="J3532" s="12" t="str">
        <f>HYPERLINK("https://www.boe.es/gazeta/dias/1803/04/29/pdfs/GMD-1803-34.pdf#page=6","Abrir facsímil")</f>
        <v>Abrir facsímil</v>
      </c>
      <c r="K3532" s="15" t="s">
        <v>23</v>
      </c>
    </row>
    <row r="3533" spans="1:11" ht="42" customHeight="1">
      <c r="A3533" s="4" t="s">
        <v>8836</v>
      </c>
      <c r="B3533" s="5" t="s">
        <v>8836</v>
      </c>
      <c r="C3533" s="5" t="s">
        <v>51</v>
      </c>
      <c r="D3533" s="5" t="s">
        <v>52</v>
      </c>
      <c r="E3533" s="5" t="s">
        <v>369</v>
      </c>
      <c r="F3533" s="9">
        <v>100</v>
      </c>
      <c r="G3533" s="9">
        <v>1075</v>
      </c>
      <c r="H3533" s="5" t="s">
        <v>21</v>
      </c>
      <c r="I3533" s="5" t="s">
        <v>8837</v>
      </c>
      <c r="J3533" s="12" t="str">
        <f>HYPERLINK("https://www.boe.es/gazeta/dias/1803/12/13/pdfs/GMD-1803-100.pdf#page=11","Abrir facsímil")</f>
        <v>Abrir facsímil</v>
      </c>
      <c r="K3533" s="15" t="s">
        <v>23</v>
      </c>
    </row>
    <row r="3534" spans="1:11" ht="42" customHeight="1">
      <c r="A3534" s="4" t="s">
        <v>8838</v>
      </c>
      <c r="B3534" s="5" t="s">
        <v>8839</v>
      </c>
      <c r="C3534" s="5" t="s">
        <v>26</v>
      </c>
      <c r="D3534" s="5" t="s">
        <v>27</v>
      </c>
      <c r="E3534" s="5" t="s">
        <v>178</v>
      </c>
      <c r="F3534" s="9">
        <v>36</v>
      </c>
      <c r="G3534" s="9">
        <v>375</v>
      </c>
      <c r="H3534" s="5" t="s">
        <v>21</v>
      </c>
      <c r="I3534" s="5" t="s">
        <v>8840</v>
      </c>
      <c r="J3534" s="12" t="str">
        <f>HYPERLINK("https://www.boe.es/gazeta/dias/1803/05/06/pdfs/GMD-1803-36.pdf#page=7","Abrir facsímil")</f>
        <v>Abrir facsímil</v>
      </c>
      <c r="K3534" s="15" t="s">
        <v>23</v>
      </c>
    </row>
    <row r="3535" spans="1:11" ht="42" customHeight="1">
      <c r="A3535" s="4" t="s">
        <v>8841</v>
      </c>
      <c r="B3535" s="5" t="s">
        <v>8842</v>
      </c>
      <c r="C3535" s="5" t="s">
        <v>40</v>
      </c>
      <c r="D3535" s="5" t="s">
        <v>41</v>
      </c>
      <c r="E3535" s="5" t="s">
        <v>657</v>
      </c>
      <c r="F3535" s="9">
        <v>24</v>
      </c>
      <c r="G3535" s="9">
        <v>251</v>
      </c>
      <c r="H3535" s="5" t="s">
        <v>21</v>
      </c>
      <c r="I3535" s="5" t="s">
        <v>8843</v>
      </c>
      <c r="J3535" s="12" t="str">
        <f>HYPERLINK("https://www.boe.es/gazeta/dias/1803/03/25/pdfs/GMD-1803-24.pdf#page=3","Abrir facsímil")</f>
        <v>Abrir facsímil</v>
      </c>
      <c r="K3535" s="15" t="s">
        <v>23</v>
      </c>
    </row>
    <row r="3536" spans="1:11" ht="42" customHeight="1">
      <c r="A3536" s="4" t="s">
        <v>8844</v>
      </c>
      <c r="B3536" s="5" t="s">
        <v>8845</v>
      </c>
      <c r="C3536" s="5" t="s">
        <v>40</v>
      </c>
      <c r="D3536" s="5" t="s">
        <v>41</v>
      </c>
      <c r="E3536" s="5" t="s">
        <v>519</v>
      </c>
      <c r="F3536" s="9">
        <v>50</v>
      </c>
      <c r="G3536" s="9">
        <v>534</v>
      </c>
      <c r="H3536" s="5" t="s">
        <v>21</v>
      </c>
      <c r="I3536" s="5" t="s">
        <v>8846</v>
      </c>
      <c r="J3536" s="12" t="str">
        <f>HYPERLINK("https://www.boe.es/gazeta/dias/1803/06/24/pdfs/GMD-1803-50.pdf#page=2","Abrir facsímil")</f>
        <v>Abrir facsímil</v>
      </c>
      <c r="K3536" s="15" t="s">
        <v>23</v>
      </c>
    </row>
    <row r="3537" spans="1:11" ht="42" customHeight="1">
      <c r="A3537" s="4" t="s">
        <v>8847</v>
      </c>
      <c r="B3537" s="5" t="s">
        <v>8848</v>
      </c>
      <c r="C3537" s="5" t="s">
        <v>80</v>
      </c>
      <c r="D3537" s="5" t="s">
        <v>81</v>
      </c>
      <c r="E3537" s="5" t="s">
        <v>278</v>
      </c>
      <c r="F3537" s="9">
        <v>46</v>
      </c>
      <c r="G3537" s="9">
        <v>488</v>
      </c>
      <c r="H3537" s="5" t="s">
        <v>21</v>
      </c>
      <c r="I3537" s="5" t="s">
        <v>8849</v>
      </c>
      <c r="J3537" s="12" t="str">
        <f>HYPERLINK("https://www.boe.es/gazeta/dias/1803/06/10/pdfs/GMD-1803-46.pdf#page=12","Abrir facsímil")</f>
        <v>Abrir facsímil</v>
      </c>
      <c r="K3537" s="15" t="s">
        <v>23</v>
      </c>
    </row>
    <row r="3538" spans="1:11" ht="42" customHeight="1">
      <c r="A3538" s="4" t="s">
        <v>8850</v>
      </c>
      <c r="B3538" s="5" t="s">
        <v>8851</v>
      </c>
      <c r="C3538" s="5" t="s">
        <v>26</v>
      </c>
      <c r="D3538" s="5" t="s">
        <v>27</v>
      </c>
      <c r="E3538" s="5" t="s">
        <v>102</v>
      </c>
      <c r="F3538" s="9">
        <v>31</v>
      </c>
      <c r="G3538" s="9">
        <v>326</v>
      </c>
      <c r="H3538" s="5" t="s">
        <v>21</v>
      </c>
      <c r="I3538" s="5" t="s">
        <v>8852</v>
      </c>
      <c r="J3538" s="12" t="str">
        <f>HYPERLINK("https://www.boe.es/gazeta/dias/1803/04/19/pdfs/GMD-1803-31.pdf#page=6","Abrir facsímil")</f>
        <v>Abrir facsímil</v>
      </c>
      <c r="K3538" s="15" t="s">
        <v>23</v>
      </c>
    </row>
    <row r="3539" spans="1:11" ht="42" customHeight="1">
      <c r="A3539" s="4" t="s">
        <v>8853</v>
      </c>
      <c r="B3539" s="5" t="s">
        <v>8854</v>
      </c>
      <c r="C3539" s="5" t="s">
        <v>40</v>
      </c>
      <c r="D3539" s="5" t="s">
        <v>41</v>
      </c>
      <c r="E3539" s="5" t="s">
        <v>285</v>
      </c>
      <c r="F3539" s="9">
        <v>5</v>
      </c>
      <c r="G3539" s="9">
        <v>40</v>
      </c>
      <c r="H3539" s="5" t="s">
        <v>21</v>
      </c>
      <c r="I3539" s="5" t="s">
        <v>8855</v>
      </c>
      <c r="J3539" s="12" t="str">
        <f>HYPERLINK("https://www.boe.es/gazeta/dias/1803/01/18/pdfs/GMD-1803-5.pdf#page=4","Abrir facsímil")</f>
        <v>Abrir facsímil</v>
      </c>
      <c r="K3539" s="15" t="s">
        <v>23</v>
      </c>
    </row>
    <row r="3540" spans="1:11" ht="42" customHeight="1">
      <c r="A3540" s="4" t="s">
        <v>8853</v>
      </c>
      <c r="B3540" s="5" t="s">
        <v>8854</v>
      </c>
      <c r="C3540" s="5" t="s">
        <v>40</v>
      </c>
      <c r="D3540" s="5" t="s">
        <v>41</v>
      </c>
      <c r="E3540" s="5" t="s">
        <v>657</v>
      </c>
      <c r="F3540" s="9">
        <v>24</v>
      </c>
      <c r="G3540" s="9">
        <v>252</v>
      </c>
      <c r="H3540" s="5" t="s">
        <v>21</v>
      </c>
      <c r="I3540" s="5" t="s">
        <v>8856</v>
      </c>
      <c r="J3540" s="12" t="str">
        <f>HYPERLINK("https://www.boe.es/gazeta/dias/1803/03/25/pdfs/GMD-1803-24.pdf#page=4","Abrir facsímil")</f>
        <v>Abrir facsímil</v>
      </c>
      <c r="K3540" s="15" t="s">
        <v>23</v>
      </c>
    </row>
    <row r="3541" spans="1:11" ht="42" customHeight="1">
      <c r="A3541" s="4" t="s">
        <v>8853</v>
      </c>
      <c r="B3541" s="5" t="s">
        <v>8854</v>
      </c>
      <c r="C3541" s="5" t="s">
        <v>26</v>
      </c>
      <c r="D3541" s="5" t="s">
        <v>27</v>
      </c>
      <c r="E3541" s="5" t="s">
        <v>272</v>
      </c>
      <c r="F3541" s="9">
        <v>25</v>
      </c>
      <c r="G3541" s="9">
        <v>263</v>
      </c>
      <c r="H3541" s="5" t="s">
        <v>21</v>
      </c>
      <c r="I3541" s="5" t="s">
        <v>8857</v>
      </c>
      <c r="J3541" s="12" t="str">
        <f>HYPERLINK("https://www.boe.es/gazeta/dias/1803/03/29/pdfs/GMD-1803-25.pdf#page=3","Abrir facsímil")</f>
        <v>Abrir facsímil</v>
      </c>
      <c r="K3541" s="15" t="s">
        <v>23</v>
      </c>
    </row>
    <row r="3542" spans="1:11" ht="42" customHeight="1">
      <c r="A3542" s="4" t="s">
        <v>8853</v>
      </c>
      <c r="B3542" s="5" t="s">
        <v>8854</v>
      </c>
      <c r="C3542" s="5" t="s">
        <v>40</v>
      </c>
      <c r="D3542" s="5" t="s">
        <v>41</v>
      </c>
      <c r="E3542" s="5" t="s">
        <v>93</v>
      </c>
      <c r="F3542" s="9">
        <v>43</v>
      </c>
      <c r="G3542" s="9">
        <v>446</v>
      </c>
      <c r="H3542" s="5" t="s">
        <v>21</v>
      </c>
      <c r="I3542" s="5" t="s">
        <v>8858</v>
      </c>
      <c r="J3542" s="12" t="str">
        <f>HYPERLINK("https://www.boe.es/gazeta/dias/1803/05/31/pdfs/GMD-1803-43.pdf#page=6","Abrir facsímil")</f>
        <v>Abrir facsímil</v>
      </c>
      <c r="K3542" s="15" t="s">
        <v>23</v>
      </c>
    </row>
    <row r="3543" spans="1:11" ht="42" customHeight="1">
      <c r="A3543" s="4" t="s">
        <v>8853</v>
      </c>
      <c r="B3543" s="5" t="s">
        <v>8854</v>
      </c>
      <c r="C3543" s="5" t="s">
        <v>46</v>
      </c>
      <c r="D3543" s="5" t="s">
        <v>19</v>
      </c>
      <c r="E3543" s="5" t="s">
        <v>293</v>
      </c>
      <c r="F3543" s="9">
        <v>45</v>
      </c>
      <c r="G3543" s="9">
        <v>468</v>
      </c>
      <c r="H3543" s="5" t="s">
        <v>21</v>
      </c>
      <c r="I3543" s="5" t="s">
        <v>8859</v>
      </c>
      <c r="J3543" s="12" t="str">
        <f>HYPERLINK("https://www.boe.es/gazeta/dias/1803/06/07/pdfs/GMD-1803-45.pdf#page=4","Abrir facsímil")</f>
        <v>Abrir facsímil</v>
      </c>
      <c r="K3543" s="15" t="s">
        <v>23</v>
      </c>
    </row>
    <row r="3544" spans="1:11" ht="42" customHeight="1">
      <c r="A3544" s="4" t="s">
        <v>8853</v>
      </c>
      <c r="B3544" s="5" t="s">
        <v>8854</v>
      </c>
      <c r="C3544" s="5" t="s">
        <v>26</v>
      </c>
      <c r="D3544" s="5" t="s">
        <v>27</v>
      </c>
      <c r="E3544" s="5" t="s">
        <v>477</v>
      </c>
      <c r="F3544" s="9">
        <v>48</v>
      </c>
      <c r="G3544" s="9">
        <v>501</v>
      </c>
      <c r="H3544" s="5" t="s">
        <v>21</v>
      </c>
      <c r="I3544" s="5" t="s">
        <v>8860</v>
      </c>
      <c r="J3544" s="12" t="str">
        <f>HYPERLINK("https://www.boe.es/gazeta/dias/1803/06/17/pdfs/GMD-1803-48.pdf#page=1","Abrir facsímil")</f>
        <v>Abrir facsímil</v>
      </c>
      <c r="K3544" s="15" t="s">
        <v>23</v>
      </c>
    </row>
    <row r="3545" spans="1:11" ht="42" customHeight="1">
      <c r="A3545" s="4" t="s">
        <v>8853</v>
      </c>
      <c r="B3545" s="5" t="s">
        <v>8854</v>
      </c>
      <c r="C3545" s="5" t="s">
        <v>40</v>
      </c>
      <c r="D3545" s="5" t="s">
        <v>41</v>
      </c>
      <c r="E3545" s="5" t="s">
        <v>726</v>
      </c>
      <c r="F3545" s="9">
        <v>78</v>
      </c>
      <c r="G3545" s="9">
        <v>841</v>
      </c>
      <c r="H3545" s="5" t="s">
        <v>21</v>
      </c>
      <c r="I3545" s="5" t="s">
        <v>8861</v>
      </c>
      <c r="J3545" s="12" t="str">
        <f>HYPERLINK("https://www.boe.es/gazeta/dias/1803/09/27/pdfs/GMD-1803-78.pdf#page=5","Abrir facsímil")</f>
        <v>Abrir facsímil</v>
      </c>
      <c r="K3545" s="15" t="s">
        <v>23</v>
      </c>
    </row>
    <row r="3546" spans="1:11" ht="42" customHeight="1">
      <c r="A3546" s="4" t="s">
        <v>8862</v>
      </c>
      <c r="B3546" s="5" t="s">
        <v>8863</v>
      </c>
      <c r="C3546" s="5" t="s">
        <v>40</v>
      </c>
      <c r="D3546" s="5" t="s">
        <v>41</v>
      </c>
      <c r="E3546" s="5" t="s">
        <v>303</v>
      </c>
      <c r="F3546" s="9">
        <v>8</v>
      </c>
      <c r="G3546" s="9">
        <v>75</v>
      </c>
      <c r="H3546" s="5" t="s">
        <v>21</v>
      </c>
      <c r="I3546" s="5" t="s">
        <v>8864</v>
      </c>
      <c r="J3546" s="12" t="str">
        <f>HYPERLINK("https://www.boe.es/gazeta/dias/1803/01/28/pdfs/GMD-1803-8.pdf#page=3","Abrir facsímil")</f>
        <v>Abrir facsímil</v>
      </c>
      <c r="K3546" s="15" t="s">
        <v>23</v>
      </c>
    </row>
    <row r="3547" spans="1:11" ht="42" customHeight="1">
      <c r="A3547" s="4" t="s">
        <v>8865</v>
      </c>
      <c r="B3547" s="5" t="s">
        <v>8866</v>
      </c>
      <c r="C3547" s="5" t="s">
        <v>26</v>
      </c>
      <c r="D3547" s="5" t="s">
        <v>27</v>
      </c>
      <c r="E3547" s="5" t="s">
        <v>606</v>
      </c>
      <c r="F3547" s="9">
        <v>47</v>
      </c>
      <c r="G3547" s="9">
        <v>499</v>
      </c>
      <c r="H3547" s="5" t="s">
        <v>21</v>
      </c>
      <c r="I3547" s="5" t="s">
        <v>8867</v>
      </c>
      <c r="J3547" s="12" t="str">
        <f>HYPERLINK("https://www.boe.es/gazeta/dias/1803/06/14/pdfs/GMD-1803-47.pdf#page=11","Abrir facsímil")</f>
        <v>Abrir facsímil</v>
      </c>
      <c r="K3547" s="15" t="s">
        <v>23</v>
      </c>
    </row>
    <row r="3548" spans="1:11" ht="42" customHeight="1">
      <c r="A3548" s="4" t="s">
        <v>8868</v>
      </c>
      <c r="B3548" s="5" t="s">
        <v>8869</v>
      </c>
      <c r="C3548" s="5" t="s">
        <v>40</v>
      </c>
      <c r="D3548" s="5" t="s">
        <v>41</v>
      </c>
      <c r="E3548" s="5" t="s">
        <v>189</v>
      </c>
      <c r="F3548" s="9">
        <v>9</v>
      </c>
      <c r="G3548" s="9">
        <v>87</v>
      </c>
      <c r="H3548" s="5" t="s">
        <v>21</v>
      </c>
      <c r="I3548" s="5" t="s">
        <v>8870</v>
      </c>
      <c r="J3548" s="12" t="str">
        <f>HYPERLINK("https://www.boe.es/gazeta/dias/1803/02/01/pdfs/GMD-1803-9.pdf#page=3","Abrir facsímil")</f>
        <v>Abrir facsímil</v>
      </c>
      <c r="K3548" s="15" t="s">
        <v>23</v>
      </c>
    </row>
    <row r="3549" spans="1:11" ht="42" customHeight="1">
      <c r="A3549" s="4" t="s">
        <v>8871</v>
      </c>
      <c r="B3549" s="5" t="s">
        <v>8872</v>
      </c>
      <c r="C3549" s="5" t="s">
        <v>18</v>
      </c>
      <c r="D3549" s="5" t="s">
        <v>19</v>
      </c>
      <c r="E3549" s="5" t="s">
        <v>417</v>
      </c>
      <c r="F3549" s="9">
        <v>72</v>
      </c>
      <c r="G3549" s="9">
        <v>786</v>
      </c>
      <c r="H3549" s="5" t="s">
        <v>21</v>
      </c>
      <c r="I3549" s="5" t="s">
        <v>8873</v>
      </c>
      <c r="J3549" s="12" t="str">
        <f>HYPERLINK("https://www.boe.es/gazeta/dias/1803/09/09/pdfs/GMD-1803-72.pdf#page=6","Abrir facsímil")</f>
        <v>Abrir facsímil</v>
      </c>
      <c r="K3549" s="15" t="s">
        <v>23</v>
      </c>
    </row>
    <row r="3550" spans="1:11" ht="42" customHeight="1">
      <c r="A3550" s="4" t="s">
        <v>8874</v>
      </c>
      <c r="B3550" s="5" t="s">
        <v>8875</v>
      </c>
      <c r="C3550" s="5" t="s">
        <v>80</v>
      </c>
      <c r="D3550" s="5" t="s">
        <v>81</v>
      </c>
      <c r="E3550" s="5" t="s">
        <v>191</v>
      </c>
      <c r="F3550" s="9">
        <v>34</v>
      </c>
      <c r="G3550" s="9">
        <v>360</v>
      </c>
      <c r="H3550" s="5" t="s">
        <v>21</v>
      </c>
      <c r="I3550" s="5" t="s">
        <v>8876</v>
      </c>
      <c r="J3550" s="12" t="str">
        <f>HYPERLINK("https://www.boe.es/gazeta/dias/1803/04/29/pdfs/GMD-1803-34.pdf#page=8","Abrir facsímil")</f>
        <v>Abrir facsímil</v>
      </c>
      <c r="K3550" s="15" t="s">
        <v>23</v>
      </c>
    </row>
    <row r="3551" spans="1:11" ht="42" customHeight="1">
      <c r="A3551" s="4" t="s">
        <v>8877</v>
      </c>
      <c r="B3551" s="5" t="s">
        <v>8878</v>
      </c>
      <c r="C3551" s="5" t="s">
        <v>40</v>
      </c>
      <c r="D3551" s="5" t="s">
        <v>41</v>
      </c>
      <c r="E3551" s="5" t="s">
        <v>117</v>
      </c>
      <c r="F3551" s="9">
        <v>59</v>
      </c>
      <c r="G3551" s="9">
        <v>647</v>
      </c>
      <c r="H3551" s="5" t="s">
        <v>21</v>
      </c>
      <c r="I3551" s="5" t="s">
        <v>8879</v>
      </c>
      <c r="J3551" s="12" t="str">
        <f>HYPERLINK("https://www.boe.es/gazeta/dias/1803/07/26/pdfs/GMD-1803-59.pdf#page=7","Abrir facsímil")</f>
        <v>Abrir facsímil</v>
      </c>
      <c r="K3551" s="15" t="s">
        <v>23</v>
      </c>
    </row>
    <row r="3552" spans="1:11" ht="42" customHeight="1">
      <c r="A3552" s="4" t="s">
        <v>8880</v>
      </c>
      <c r="B3552" s="5" t="s">
        <v>8881</v>
      </c>
      <c r="C3552" s="5" t="s">
        <v>26</v>
      </c>
      <c r="D3552" s="5" t="s">
        <v>27</v>
      </c>
      <c r="E3552" s="5" t="s">
        <v>403</v>
      </c>
      <c r="F3552" s="9">
        <v>91</v>
      </c>
      <c r="G3552" s="9">
        <v>977</v>
      </c>
      <c r="H3552" s="5" t="s">
        <v>21</v>
      </c>
      <c r="I3552" s="5" t="s">
        <v>8882</v>
      </c>
      <c r="J3552" s="12" t="str">
        <f>HYPERLINK("https://www.boe.es/gazeta/dias/1803/11/11/pdfs/GMD-1803-91.pdf#page=9","Abrir facsímil")</f>
        <v>Abrir facsímil</v>
      </c>
      <c r="K3552" s="15" t="s">
        <v>23</v>
      </c>
    </row>
    <row r="3553" spans="1:11" ht="42" customHeight="1">
      <c r="A3553" s="4" t="s">
        <v>8883</v>
      </c>
      <c r="B3553" s="5" t="s">
        <v>8884</v>
      </c>
      <c r="C3553" s="5" t="s">
        <v>18</v>
      </c>
      <c r="D3553" s="5" t="s">
        <v>19</v>
      </c>
      <c r="E3553" s="5" t="s">
        <v>278</v>
      </c>
      <c r="F3553" s="9">
        <v>46</v>
      </c>
      <c r="G3553" s="9">
        <v>486</v>
      </c>
      <c r="H3553" s="5" t="s">
        <v>21</v>
      </c>
      <c r="I3553" s="5" t="s">
        <v>8885</v>
      </c>
      <c r="J3553" s="12" t="str">
        <f>HYPERLINK("https://www.boe.es/gazeta/dias/1803/06/10/pdfs/GMD-1803-46.pdf#page=10","Abrir facsímil")</f>
        <v>Abrir facsímil</v>
      </c>
      <c r="K3553" s="15" t="s">
        <v>23</v>
      </c>
    </row>
    <row r="3554" spans="1:11" ht="42" customHeight="1">
      <c r="A3554" s="4" t="s">
        <v>8886</v>
      </c>
      <c r="B3554" s="5" t="s">
        <v>8887</v>
      </c>
      <c r="C3554" s="5" t="s">
        <v>18</v>
      </c>
      <c r="D3554" s="5" t="s">
        <v>19</v>
      </c>
      <c r="E3554" s="5" t="s">
        <v>250</v>
      </c>
      <c r="F3554" s="9">
        <v>4</v>
      </c>
      <c r="G3554" s="9">
        <v>35</v>
      </c>
      <c r="H3554" s="5" t="s">
        <v>21</v>
      </c>
      <c r="I3554" s="5" t="s">
        <v>8888</v>
      </c>
      <c r="J3554" s="12" t="str">
        <f>HYPERLINK("https://www.boe.es/gazeta/dias/1803/01/14/pdfs/GMD-1803-4.pdf#page=7","Abrir facsímil")</f>
        <v>Abrir facsímil</v>
      </c>
      <c r="K3554" s="15" t="s">
        <v>23</v>
      </c>
    </row>
    <row r="3555" spans="1:11" ht="42" customHeight="1">
      <c r="A3555" s="4" t="s">
        <v>8886</v>
      </c>
      <c r="B3555" s="5" t="s">
        <v>8887</v>
      </c>
      <c r="C3555" s="5" t="s">
        <v>18</v>
      </c>
      <c r="D3555" s="5" t="s">
        <v>19</v>
      </c>
      <c r="E3555" s="5" t="s">
        <v>148</v>
      </c>
      <c r="F3555" s="9">
        <v>15</v>
      </c>
      <c r="G3555" s="9">
        <v>156</v>
      </c>
      <c r="H3555" s="5" t="s">
        <v>21</v>
      </c>
      <c r="I3555" s="5" t="s">
        <v>8889</v>
      </c>
      <c r="J3555" s="12" t="str">
        <f>HYPERLINK("https://www.boe.es/gazeta/dias/1803/02/22/pdfs/GMD-1803-15.pdf#page=8","Abrir facsímil")</f>
        <v>Abrir facsímil</v>
      </c>
      <c r="K3555" s="15" t="s">
        <v>23</v>
      </c>
    </row>
    <row r="3556" spans="1:11" ht="42" customHeight="1">
      <c r="A3556" s="4" t="s">
        <v>8890</v>
      </c>
      <c r="B3556" s="5" t="s">
        <v>8891</v>
      </c>
      <c r="C3556" s="5" t="s">
        <v>80</v>
      </c>
      <c r="D3556" s="5" t="s">
        <v>81</v>
      </c>
      <c r="E3556" s="5" t="s">
        <v>784</v>
      </c>
      <c r="F3556" s="9">
        <v>86</v>
      </c>
      <c r="G3556" s="9">
        <v>932</v>
      </c>
      <c r="H3556" s="5" t="s">
        <v>21</v>
      </c>
      <c r="I3556" s="5" t="s">
        <v>8892</v>
      </c>
      <c r="J3556" s="12" t="str">
        <f>HYPERLINK("https://www.boe.es/gazeta/dias/1803/10/25/pdfs/GMD-1803-86.pdf#page=12","Abrir facsímil")</f>
        <v>Abrir facsímil</v>
      </c>
      <c r="K3556" s="15" t="s">
        <v>23</v>
      </c>
    </row>
    <row r="3557" spans="1:11" ht="42" customHeight="1">
      <c r="A3557" s="4" t="s">
        <v>8893</v>
      </c>
      <c r="B3557" s="5" t="s">
        <v>8894</v>
      </c>
      <c r="C3557" s="5" t="s">
        <v>51</v>
      </c>
      <c r="D3557" s="5" t="s">
        <v>52</v>
      </c>
      <c r="E3557" s="5" t="s">
        <v>211</v>
      </c>
      <c r="F3557" s="9">
        <v>71</v>
      </c>
      <c r="G3557" s="9">
        <v>779</v>
      </c>
      <c r="H3557" s="5" t="s">
        <v>21</v>
      </c>
      <c r="I3557" s="5" t="s">
        <v>8895</v>
      </c>
      <c r="J3557" s="12" t="str">
        <f>HYPERLINK("https://www.boe.es/gazeta/dias/1803/09/06/pdfs/GMD-1803-71.pdf#page=11","Abrir facsímil")</f>
        <v>Abrir facsímil</v>
      </c>
      <c r="K3557" s="15" t="s">
        <v>23</v>
      </c>
    </row>
    <row r="3558" spans="1:11" ht="42" customHeight="1">
      <c r="A3558" s="4" t="s">
        <v>8896</v>
      </c>
      <c r="B3558" s="5" t="s">
        <v>8897</v>
      </c>
      <c r="C3558" s="5" t="s">
        <v>80</v>
      </c>
      <c r="D3558" s="5" t="s">
        <v>81</v>
      </c>
      <c r="E3558" s="5" t="s">
        <v>214</v>
      </c>
      <c r="F3558" s="9">
        <v>17</v>
      </c>
      <c r="G3558" s="9">
        <v>180</v>
      </c>
      <c r="H3558" s="5" t="s">
        <v>21</v>
      </c>
      <c r="I3558" s="5" t="s">
        <v>8898</v>
      </c>
      <c r="J3558" s="12" t="str">
        <f>HYPERLINK("https://www.boe.es/gazeta/dias/1803/03/01/pdfs/GMD-1803-17.pdf#page=12","Abrir facsímil")</f>
        <v>Abrir facsímil</v>
      </c>
      <c r="K3558" s="15" t="s">
        <v>23</v>
      </c>
    </row>
    <row r="3559" spans="1:11" ht="42" customHeight="1">
      <c r="A3559" s="4" t="s">
        <v>8899</v>
      </c>
      <c r="B3559" s="5" t="s">
        <v>8900</v>
      </c>
      <c r="C3559" s="5" t="s">
        <v>18</v>
      </c>
      <c r="D3559" s="5" t="s">
        <v>19</v>
      </c>
      <c r="E3559" s="5" t="s">
        <v>148</v>
      </c>
      <c r="F3559" s="9">
        <v>15</v>
      </c>
      <c r="G3559" s="9">
        <v>156</v>
      </c>
      <c r="H3559" s="5" t="s">
        <v>21</v>
      </c>
      <c r="I3559" s="5" t="s">
        <v>8901</v>
      </c>
      <c r="J3559" s="12" t="str">
        <f>HYPERLINK("https://www.boe.es/gazeta/dias/1803/02/22/pdfs/GMD-1803-15.pdf#page=8","Abrir facsímil")</f>
        <v>Abrir facsímil</v>
      </c>
      <c r="K3559" s="15" t="s">
        <v>23</v>
      </c>
    </row>
    <row r="3560" spans="1:11" ht="42" customHeight="1">
      <c r="A3560" s="4" t="s">
        <v>8902</v>
      </c>
      <c r="B3560" s="5" t="s">
        <v>8903</v>
      </c>
      <c r="C3560" s="5" t="s">
        <v>26</v>
      </c>
      <c r="D3560" s="5" t="s">
        <v>27</v>
      </c>
      <c r="E3560" s="5" t="s">
        <v>1846</v>
      </c>
      <c r="F3560" s="9">
        <v>89</v>
      </c>
      <c r="G3560" s="9">
        <v>958</v>
      </c>
      <c r="H3560" s="5" t="s">
        <v>21</v>
      </c>
      <c r="I3560" s="5" t="s">
        <v>8904</v>
      </c>
      <c r="J3560" s="12" t="str">
        <f>HYPERLINK("https://www.boe.es/gazeta/dias/1803/11/04/pdfs/GMD-1803-89.pdf#page=6","Abrir facsímil")</f>
        <v>Abrir facsímil</v>
      </c>
      <c r="K3560" s="15" t="s">
        <v>23</v>
      </c>
    </row>
    <row r="3561" spans="1:11" ht="42" customHeight="1">
      <c r="A3561" s="4" t="s">
        <v>8905</v>
      </c>
      <c r="B3561" s="5" t="s">
        <v>8906</v>
      </c>
      <c r="C3561" s="5" t="s">
        <v>18</v>
      </c>
      <c r="D3561" s="5" t="s">
        <v>19</v>
      </c>
      <c r="E3561" s="5" t="s">
        <v>285</v>
      </c>
      <c r="F3561" s="9">
        <v>5</v>
      </c>
      <c r="G3561" s="9">
        <v>47</v>
      </c>
      <c r="H3561" s="5" t="s">
        <v>21</v>
      </c>
      <c r="I3561" s="5" t="s">
        <v>8907</v>
      </c>
      <c r="J3561" s="12" t="str">
        <f>HYPERLINK("https://www.boe.es/gazeta/dias/1803/01/18/pdfs/GMD-1803-5.pdf#page=11","Abrir facsímil")</f>
        <v>Abrir facsímil</v>
      </c>
      <c r="K3561" s="15" t="s">
        <v>23</v>
      </c>
    </row>
    <row r="3562" spans="1:11" ht="42" customHeight="1">
      <c r="A3562" s="4" t="s">
        <v>8908</v>
      </c>
      <c r="B3562" s="5" t="s">
        <v>8909</v>
      </c>
      <c r="C3562" s="5" t="s">
        <v>51</v>
      </c>
      <c r="D3562" s="5" t="s">
        <v>52</v>
      </c>
      <c r="E3562" s="5" t="s">
        <v>174</v>
      </c>
      <c r="F3562" s="9">
        <v>21</v>
      </c>
      <c r="G3562" s="9">
        <v>226</v>
      </c>
      <c r="H3562" s="5" t="s">
        <v>21</v>
      </c>
      <c r="I3562" s="5" t="s">
        <v>8910</v>
      </c>
      <c r="J3562" s="12" t="str">
        <f>HYPERLINK("https://www.boe.es/gazeta/dias/1803/03/15/pdfs/GMD-1803-21.pdf#page=10","Abrir facsímil")</f>
        <v>Abrir facsímil</v>
      </c>
      <c r="K3562" s="15" t="s">
        <v>23</v>
      </c>
    </row>
    <row r="3563" spans="1:11" ht="42" customHeight="1">
      <c r="A3563" s="4" t="s">
        <v>8908</v>
      </c>
      <c r="B3563" s="5" t="s">
        <v>8909</v>
      </c>
      <c r="C3563" s="5" t="s">
        <v>225</v>
      </c>
      <c r="D3563" s="5" t="s">
        <v>226</v>
      </c>
      <c r="E3563" s="5" t="s">
        <v>609</v>
      </c>
      <c r="F3563" s="9">
        <v>57</v>
      </c>
      <c r="G3563" s="9">
        <v>622</v>
      </c>
      <c r="H3563" s="5" t="s">
        <v>21</v>
      </c>
      <c r="I3563" s="5" t="s">
        <v>8911</v>
      </c>
      <c r="J3563" s="12" t="str">
        <f>HYPERLINK("https://www.boe.es/gazeta/dias/1803/07/19/pdfs/GMD-C-1803-57.pdf#page=2","Abrir facsímil")</f>
        <v>Abrir facsímil</v>
      </c>
      <c r="K3563" s="15" t="s">
        <v>23</v>
      </c>
    </row>
    <row r="3564" spans="1:11" ht="42" customHeight="1">
      <c r="A3564" s="4" t="s">
        <v>8908</v>
      </c>
      <c r="B3564" s="5" t="s">
        <v>8909</v>
      </c>
      <c r="C3564" s="5" t="s">
        <v>46</v>
      </c>
      <c r="D3564" s="5" t="s">
        <v>19</v>
      </c>
      <c r="E3564" s="5" t="s">
        <v>113</v>
      </c>
      <c r="F3564" s="9">
        <v>93</v>
      </c>
      <c r="G3564" s="9">
        <v>997</v>
      </c>
      <c r="H3564" s="5" t="s">
        <v>21</v>
      </c>
      <c r="I3564" s="5" t="s">
        <v>8912</v>
      </c>
      <c r="J3564" s="12" t="str">
        <f>HYPERLINK("https://www.boe.es/gazeta/dias/1803/11/18/pdfs/GMD-1803-93.pdf#page=9","Abrir facsímil")</f>
        <v>Abrir facsímil</v>
      </c>
      <c r="K3564" s="15" t="s">
        <v>23</v>
      </c>
    </row>
    <row r="3565" spans="1:11" ht="42" customHeight="1">
      <c r="A3565" s="4" t="s">
        <v>8913</v>
      </c>
      <c r="B3565" s="5" t="s">
        <v>8914</v>
      </c>
      <c r="C3565" s="5" t="s">
        <v>18</v>
      </c>
      <c r="D3565" s="5" t="s">
        <v>19</v>
      </c>
      <c r="E3565" s="5" t="s">
        <v>571</v>
      </c>
      <c r="F3565" s="9">
        <v>103</v>
      </c>
      <c r="G3565" s="9">
        <v>1106</v>
      </c>
      <c r="H3565" s="5" t="s">
        <v>21</v>
      </c>
      <c r="I3565" s="5" t="s">
        <v>8915</v>
      </c>
      <c r="J3565" s="12" t="str">
        <f>HYPERLINK("https://www.boe.es/gazeta/dias/1803/12/23/pdfs/GMD-1803-103.pdf#page=6","Abrir facsímil")</f>
        <v>Abrir facsímil</v>
      </c>
      <c r="K3565" s="15" t="s">
        <v>23</v>
      </c>
    </row>
    <row r="3566" spans="1:11" ht="42" customHeight="1">
      <c r="A3566" s="4" t="s">
        <v>8916</v>
      </c>
      <c r="B3566" s="5" t="s">
        <v>8917</v>
      </c>
      <c r="C3566" s="5" t="s">
        <v>51</v>
      </c>
      <c r="D3566" s="5" t="s">
        <v>52</v>
      </c>
      <c r="E3566" s="5" t="s">
        <v>289</v>
      </c>
      <c r="F3566" s="9">
        <v>38</v>
      </c>
      <c r="G3566" s="9">
        <v>402</v>
      </c>
      <c r="H3566" s="5" t="s">
        <v>21</v>
      </c>
      <c r="I3566" s="5" t="s">
        <v>8918</v>
      </c>
      <c r="J3566" s="12" t="str">
        <f>HYPERLINK("https://www.boe.es/gazeta/dias/1803/05/13/pdfs/GMD-1803-38.pdf#page=10","Abrir facsímil")</f>
        <v>Abrir facsímil</v>
      </c>
      <c r="K3566" s="15" t="s">
        <v>23</v>
      </c>
    </row>
    <row r="3567" spans="1:11" ht="42" customHeight="1">
      <c r="A3567" s="4" t="s">
        <v>8919</v>
      </c>
      <c r="B3567" s="5" t="s">
        <v>8920</v>
      </c>
      <c r="C3567" s="5" t="s">
        <v>18</v>
      </c>
      <c r="D3567" s="5" t="s">
        <v>19</v>
      </c>
      <c r="E3567" s="5" t="s">
        <v>278</v>
      </c>
      <c r="F3567" s="9">
        <v>46</v>
      </c>
      <c r="G3567" s="9">
        <v>486</v>
      </c>
      <c r="H3567" s="5" t="s">
        <v>21</v>
      </c>
      <c r="I3567" s="5" t="s">
        <v>8921</v>
      </c>
      <c r="J3567" s="12" t="str">
        <f>HYPERLINK("https://www.boe.es/gazeta/dias/1803/06/10/pdfs/GMD-1803-46.pdf#page=10","Abrir facsímil")</f>
        <v>Abrir facsímil</v>
      </c>
      <c r="K3567" s="15" t="s">
        <v>23</v>
      </c>
    </row>
    <row r="3568" spans="1:11" ht="42" customHeight="1">
      <c r="A3568" s="4" t="s">
        <v>8922</v>
      </c>
      <c r="B3568" s="5" t="s">
        <v>8923</v>
      </c>
      <c r="C3568" s="5" t="s">
        <v>26</v>
      </c>
      <c r="D3568" s="5" t="s">
        <v>27</v>
      </c>
      <c r="E3568" s="5" t="s">
        <v>606</v>
      </c>
      <c r="F3568" s="9">
        <v>47</v>
      </c>
      <c r="G3568" s="9">
        <v>498</v>
      </c>
      <c r="H3568" s="5" t="s">
        <v>21</v>
      </c>
      <c r="I3568" s="5" t="s">
        <v>8924</v>
      </c>
      <c r="J3568" s="12" t="str">
        <f>HYPERLINK("https://www.boe.es/gazeta/dias/1803/06/14/pdfs/GMD-1803-47.pdf#page=10","Abrir facsímil")</f>
        <v>Abrir facsímil</v>
      </c>
      <c r="K3568" s="15" t="s">
        <v>23</v>
      </c>
    </row>
    <row r="3569" spans="1:11" ht="42" customHeight="1">
      <c r="A3569" s="4" t="s">
        <v>8925</v>
      </c>
      <c r="B3569" s="5" t="s">
        <v>8926</v>
      </c>
      <c r="C3569" s="5" t="s">
        <v>46</v>
      </c>
      <c r="D3569" s="5" t="s">
        <v>19</v>
      </c>
      <c r="E3569" s="5" t="s">
        <v>77</v>
      </c>
      <c r="F3569" s="9">
        <v>64</v>
      </c>
      <c r="G3569" s="9">
        <v>699</v>
      </c>
      <c r="H3569" s="5" t="s">
        <v>21</v>
      </c>
      <c r="I3569" s="5" t="s">
        <v>8927</v>
      </c>
      <c r="J3569" s="12" t="str">
        <f>HYPERLINK("https://www.boe.es/gazeta/dias/1803/08/12/pdfs/GMD-1803-64.pdf#page=7","Abrir facsímil")</f>
        <v>Abrir facsímil</v>
      </c>
      <c r="K3569" s="15" t="s">
        <v>23</v>
      </c>
    </row>
    <row r="3570" spans="1:11" ht="42" customHeight="1">
      <c r="A3570" s="4" t="s">
        <v>8928</v>
      </c>
      <c r="B3570" s="5" t="s">
        <v>8929</v>
      </c>
      <c r="C3570" s="5" t="s">
        <v>51</v>
      </c>
      <c r="D3570" s="5" t="s">
        <v>52</v>
      </c>
      <c r="E3570" s="5" t="s">
        <v>189</v>
      </c>
      <c r="F3570" s="9">
        <v>9</v>
      </c>
      <c r="G3570" s="9">
        <v>91</v>
      </c>
      <c r="H3570" s="5" t="s">
        <v>21</v>
      </c>
      <c r="I3570" s="5" t="s">
        <v>8930</v>
      </c>
      <c r="J3570" s="12" t="str">
        <f>HYPERLINK("https://www.boe.es/gazeta/dias/1803/02/01/pdfs/GMD-1803-9.pdf#page=7","Abrir facsímil")</f>
        <v>Abrir facsímil</v>
      </c>
      <c r="K3570" s="15" t="s">
        <v>23</v>
      </c>
    </row>
    <row r="3571" spans="1:11" ht="42" customHeight="1">
      <c r="A3571" s="4" t="s">
        <v>8931</v>
      </c>
      <c r="B3571" s="5" t="s">
        <v>8932</v>
      </c>
      <c r="C3571" s="5" t="s">
        <v>18</v>
      </c>
      <c r="D3571" s="5" t="s">
        <v>19</v>
      </c>
      <c r="E3571" s="5" t="s">
        <v>124</v>
      </c>
      <c r="F3571" s="9">
        <v>20</v>
      </c>
      <c r="G3571" s="9">
        <v>209</v>
      </c>
      <c r="H3571" s="5" t="s">
        <v>21</v>
      </c>
      <c r="I3571" s="5" t="s">
        <v>8933</v>
      </c>
      <c r="J3571" s="12" t="str">
        <f>HYPERLINK("https://www.boe.es/gazeta/dias/1803/03/11/pdfs/GMD-1803-20.pdf#page=5","Abrir facsímil")</f>
        <v>Abrir facsímil</v>
      </c>
      <c r="K3571" s="15" t="s">
        <v>23</v>
      </c>
    </row>
    <row r="3572" spans="1:11" ht="42" customHeight="1">
      <c r="A3572" s="4" t="s">
        <v>8934</v>
      </c>
      <c r="B3572" s="5" t="s">
        <v>8935</v>
      </c>
      <c r="C3572" s="5" t="s">
        <v>26</v>
      </c>
      <c r="D3572" s="5" t="s">
        <v>27</v>
      </c>
      <c r="E3572" s="5" t="s">
        <v>71</v>
      </c>
      <c r="F3572" s="9">
        <v>39</v>
      </c>
      <c r="G3572" s="9">
        <v>412</v>
      </c>
      <c r="H3572" s="5" t="s">
        <v>21</v>
      </c>
      <c r="I3572" s="5" t="s">
        <v>8936</v>
      </c>
      <c r="J3572" s="12" t="str">
        <f>HYPERLINK("https://www.boe.es/gazeta/dias/1803/05/17/pdfs/GMD-1803-39.pdf#page=8","Abrir facsímil")</f>
        <v>Abrir facsímil</v>
      </c>
      <c r="K3572" s="15" t="s">
        <v>23</v>
      </c>
    </row>
    <row r="3573" spans="1:11" ht="42" customHeight="1">
      <c r="A3573" s="4" t="s">
        <v>8937</v>
      </c>
      <c r="B3573" s="5" t="s">
        <v>8938</v>
      </c>
      <c r="C3573" s="5" t="s">
        <v>26</v>
      </c>
      <c r="D3573" s="5" t="s">
        <v>27</v>
      </c>
      <c r="E3573" s="5" t="s">
        <v>71</v>
      </c>
      <c r="F3573" s="9">
        <v>39</v>
      </c>
      <c r="G3573" s="9">
        <v>413</v>
      </c>
      <c r="H3573" s="5" t="s">
        <v>21</v>
      </c>
      <c r="I3573" s="5" t="s">
        <v>8939</v>
      </c>
      <c r="J3573" s="12" t="str">
        <f>HYPERLINK("https://www.boe.es/gazeta/dias/1803/05/17/pdfs/GMD-1803-39.pdf#page=9","Abrir facsímil")</f>
        <v>Abrir facsímil</v>
      </c>
      <c r="K3573" s="15" t="s">
        <v>23</v>
      </c>
    </row>
    <row r="3574" spans="1:11" ht="42" customHeight="1">
      <c r="A3574" s="4" t="s">
        <v>8940</v>
      </c>
      <c r="B3574" s="5" t="s">
        <v>8941</v>
      </c>
      <c r="C3574" s="5" t="s">
        <v>26</v>
      </c>
      <c r="D3574" s="5" t="s">
        <v>27</v>
      </c>
      <c r="E3574" s="5" t="s">
        <v>191</v>
      </c>
      <c r="F3574" s="9">
        <v>34</v>
      </c>
      <c r="G3574" s="9">
        <v>358</v>
      </c>
      <c r="H3574" s="5" t="s">
        <v>21</v>
      </c>
      <c r="I3574" s="5" t="s">
        <v>8942</v>
      </c>
      <c r="J3574" s="12" t="str">
        <f>HYPERLINK("https://www.boe.es/gazeta/dias/1803/04/29/pdfs/GMD-1803-34.pdf#page=6","Abrir facsímil")</f>
        <v>Abrir facsímil</v>
      </c>
      <c r="K3574" s="15" t="s">
        <v>23</v>
      </c>
    </row>
    <row r="3575" spans="1:11" ht="42" customHeight="1">
      <c r="A3575" s="4" t="s">
        <v>8943</v>
      </c>
      <c r="B3575" s="5" t="s">
        <v>8944</v>
      </c>
      <c r="C3575" s="5" t="s">
        <v>26</v>
      </c>
      <c r="D3575" s="5" t="s">
        <v>27</v>
      </c>
      <c r="E3575" s="5" t="s">
        <v>203</v>
      </c>
      <c r="F3575" s="9">
        <v>32</v>
      </c>
      <c r="G3575" s="9">
        <v>336</v>
      </c>
      <c r="H3575" s="5" t="s">
        <v>21</v>
      </c>
      <c r="I3575" s="5" t="s">
        <v>8945</v>
      </c>
      <c r="J3575" s="12" t="str">
        <f>HYPERLINK("https://www.boe.es/gazeta/dias/1803/04/22/pdfs/GMD-1803-32.pdf#page=8","Abrir facsímil")</f>
        <v>Abrir facsímil</v>
      </c>
      <c r="K3575" s="15" t="s">
        <v>23</v>
      </c>
    </row>
    <row r="3576" spans="1:11" ht="42" customHeight="1">
      <c r="A3576" s="4" t="s">
        <v>8946</v>
      </c>
      <c r="B3576" s="5" t="s">
        <v>8947</v>
      </c>
      <c r="C3576" s="5" t="s">
        <v>26</v>
      </c>
      <c r="D3576" s="5" t="s">
        <v>27</v>
      </c>
      <c r="E3576" s="5" t="s">
        <v>203</v>
      </c>
      <c r="F3576" s="9">
        <v>32</v>
      </c>
      <c r="G3576" s="9">
        <v>336</v>
      </c>
      <c r="H3576" s="5" t="s">
        <v>21</v>
      </c>
      <c r="I3576" s="5" t="s">
        <v>8948</v>
      </c>
      <c r="J3576" s="12" t="str">
        <f>HYPERLINK("https://www.boe.es/gazeta/dias/1803/04/22/pdfs/GMD-1803-32.pdf#page=8","Abrir facsímil")</f>
        <v>Abrir facsímil</v>
      </c>
      <c r="K3576" s="15" t="s">
        <v>23</v>
      </c>
    </row>
    <row r="3577" spans="1:11" ht="42" customHeight="1">
      <c r="A3577" s="4" t="s">
        <v>8946</v>
      </c>
      <c r="B3577" s="5" t="s">
        <v>8947</v>
      </c>
      <c r="C3577" s="5" t="s">
        <v>26</v>
      </c>
      <c r="D3577" s="5" t="s">
        <v>27</v>
      </c>
      <c r="E3577" s="5" t="s">
        <v>71</v>
      </c>
      <c r="F3577" s="9">
        <v>39</v>
      </c>
      <c r="G3577" s="9">
        <v>414</v>
      </c>
      <c r="H3577" s="5" t="s">
        <v>21</v>
      </c>
      <c r="I3577" s="5" t="s">
        <v>8949</v>
      </c>
      <c r="J3577" s="12" t="str">
        <f>HYPERLINK("https://www.boe.es/gazeta/dias/1803/05/17/pdfs/GMD-1803-39.pdf#page=10","Abrir facsímil")</f>
        <v>Abrir facsímil</v>
      </c>
      <c r="K3577" s="15" t="s">
        <v>23</v>
      </c>
    </row>
    <row r="3578" spans="1:11" ht="42" customHeight="1">
      <c r="A3578" s="4" t="s">
        <v>8950</v>
      </c>
      <c r="B3578" s="5" t="s">
        <v>8951</v>
      </c>
      <c r="C3578" s="5" t="s">
        <v>26</v>
      </c>
      <c r="D3578" s="5" t="s">
        <v>27</v>
      </c>
      <c r="E3578" s="5" t="s">
        <v>71</v>
      </c>
      <c r="F3578" s="9">
        <v>39</v>
      </c>
      <c r="G3578" s="9">
        <v>413</v>
      </c>
      <c r="H3578" s="5" t="s">
        <v>21</v>
      </c>
      <c r="I3578" s="5" t="s">
        <v>8952</v>
      </c>
      <c r="J3578" s="12" t="str">
        <f>HYPERLINK("https://www.boe.es/gazeta/dias/1803/05/17/pdfs/GMD-1803-39.pdf#page=9","Abrir facsímil")</f>
        <v>Abrir facsímil</v>
      </c>
      <c r="K3578" s="15" t="s">
        <v>23</v>
      </c>
    </row>
    <row r="3579" spans="1:11" ht="42" customHeight="1">
      <c r="A3579" s="4" t="s">
        <v>8953</v>
      </c>
      <c r="B3579" s="5" t="s">
        <v>8954</v>
      </c>
      <c r="C3579" s="5" t="s">
        <v>51</v>
      </c>
      <c r="D3579" s="5" t="s">
        <v>52</v>
      </c>
      <c r="E3579" s="5" t="s">
        <v>20</v>
      </c>
      <c r="F3579" s="9">
        <v>97</v>
      </c>
      <c r="G3579" s="9">
        <v>1044</v>
      </c>
      <c r="H3579" s="5" t="s">
        <v>21</v>
      </c>
      <c r="I3579" s="5" t="s">
        <v>8955</v>
      </c>
      <c r="J3579" s="12" t="str">
        <f>HYPERLINK("https://www.boe.es/gazeta/dias/1803/12/02/pdfs/GMD-1803-97.pdf#page=8","Abrir facsímil")</f>
        <v>Abrir facsímil</v>
      </c>
      <c r="K3579" s="15" t="s">
        <v>23</v>
      </c>
    </row>
    <row r="3580" spans="1:11" ht="42" customHeight="1">
      <c r="A3580" s="4" t="s">
        <v>8956</v>
      </c>
      <c r="B3580" s="5" t="s">
        <v>8957</v>
      </c>
      <c r="C3580" s="5" t="s">
        <v>18</v>
      </c>
      <c r="D3580" s="5" t="s">
        <v>19</v>
      </c>
      <c r="E3580" s="5" t="s">
        <v>609</v>
      </c>
      <c r="F3580" s="9">
        <v>57</v>
      </c>
      <c r="G3580" s="9">
        <v>619</v>
      </c>
      <c r="H3580" s="5" t="s">
        <v>21</v>
      </c>
      <c r="I3580" s="5" t="s">
        <v>8958</v>
      </c>
      <c r="J3580" s="12" t="str">
        <f>HYPERLINK("https://www.boe.es/gazeta/dias/1803/07/19/pdfs/GMD-1803-57.pdf#page=7","Abrir facsímil")</f>
        <v>Abrir facsímil</v>
      </c>
      <c r="K3580" s="15" t="s">
        <v>23</v>
      </c>
    </row>
    <row r="3581" spans="1:11" ht="42" customHeight="1">
      <c r="A3581" s="4" t="s">
        <v>8959</v>
      </c>
      <c r="B3581" s="5" t="s">
        <v>8960</v>
      </c>
      <c r="C3581" s="5" t="s">
        <v>26</v>
      </c>
      <c r="D3581" s="5" t="s">
        <v>27</v>
      </c>
      <c r="E3581" s="5" t="s">
        <v>191</v>
      </c>
      <c r="F3581" s="9">
        <v>34</v>
      </c>
      <c r="G3581" s="9" t="s">
        <v>192</v>
      </c>
      <c r="H3581" s="5" t="s">
        <v>21</v>
      </c>
      <c r="I3581" s="5" t="s">
        <v>8961</v>
      </c>
      <c r="J3581" s="12" t="str">
        <f>HYPERLINK("https://www.boe.es/gazeta/dias/1803/04/29/pdfs/GMD-C-1803-34.pdf#page=12","Abrir facsímil")</f>
        <v>Abrir facsímil</v>
      </c>
      <c r="K3581" s="15" t="s">
        <v>23</v>
      </c>
    </row>
    <row r="3582" spans="1:11" ht="42" customHeight="1">
      <c r="A3582" s="4" t="s">
        <v>8962</v>
      </c>
      <c r="B3582" s="5" t="s">
        <v>8963</v>
      </c>
      <c r="C3582" s="5" t="s">
        <v>26</v>
      </c>
      <c r="D3582" s="5" t="s">
        <v>27</v>
      </c>
      <c r="E3582" s="5" t="s">
        <v>36</v>
      </c>
      <c r="F3582" s="9">
        <v>79</v>
      </c>
      <c r="G3582" s="9">
        <v>853</v>
      </c>
      <c r="H3582" s="5" t="s">
        <v>21</v>
      </c>
      <c r="I3582" s="5" t="s">
        <v>8964</v>
      </c>
      <c r="J3582" s="12" t="str">
        <f>HYPERLINK("https://www.boe.es/gazeta/dias/1803/09/30/pdfs/GMD-1803-79.pdf#page=5","Abrir facsímil")</f>
        <v>Abrir facsímil</v>
      </c>
      <c r="K3582" s="15" t="s">
        <v>23</v>
      </c>
    </row>
    <row r="3583" spans="1:11" ht="42" customHeight="1">
      <c r="A3583" s="4" t="s">
        <v>8965</v>
      </c>
      <c r="B3583" s="5" t="s">
        <v>8965</v>
      </c>
      <c r="C3583" s="5" t="s">
        <v>51</v>
      </c>
      <c r="D3583" s="5" t="s">
        <v>52</v>
      </c>
      <c r="E3583" s="5" t="s">
        <v>657</v>
      </c>
      <c r="F3583" s="9">
        <v>24</v>
      </c>
      <c r="G3583" s="9">
        <v>259</v>
      </c>
      <c r="H3583" s="5" t="s">
        <v>21</v>
      </c>
      <c r="I3583" s="5" t="s">
        <v>8966</v>
      </c>
      <c r="J3583" s="12" t="str">
        <f>HYPERLINK("https://www.boe.es/gazeta/dias/1803/03/25/pdfs/GMD-1803-24.pdf#page=11","Abrir facsímil")</f>
        <v>Abrir facsímil</v>
      </c>
      <c r="K3583" s="15" t="s">
        <v>23</v>
      </c>
    </row>
    <row r="3584" spans="1:11" ht="42" customHeight="1">
      <c r="A3584" s="4" t="s">
        <v>8967</v>
      </c>
      <c r="B3584" s="5" t="s">
        <v>8968</v>
      </c>
      <c r="C3584" s="5" t="s">
        <v>51</v>
      </c>
      <c r="D3584" s="5" t="s">
        <v>52</v>
      </c>
      <c r="E3584" s="5" t="s">
        <v>88</v>
      </c>
      <c r="F3584" s="9">
        <v>18</v>
      </c>
      <c r="G3584" s="9">
        <v>182</v>
      </c>
      <c r="H3584" s="5" t="s">
        <v>21</v>
      </c>
      <c r="I3584" s="5" t="s">
        <v>8969</v>
      </c>
      <c r="J3584" s="12" t="str">
        <f>HYPERLINK("https://www.boe.es/gazeta/dias/1803/03/04/pdfs/GMD-1803-18.pdf#page=2","Abrir facsímil")</f>
        <v>Abrir facsímil</v>
      </c>
      <c r="K3584" s="15" t="s">
        <v>23</v>
      </c>
    </row>
    <row r="3585" spans="1:11" ht="42" customHeight="1">
      <c r="A3585" s="4" t="s">
        <v>8970</v>
      </c>
      <c r="B3585" s="5" t="s">
        <v>8971</v>
      </c>
      <c r="C3585" s="5" t="s">
        <v>26</v>
      </c>
      <c r="D3585" s="5" t="s">
        <v>27</v>
      </c>
      <c r="E3585" s="5" t="s">
        <v>514</v>
      </c>
      <c r="F3585" s="9">
        <v>42</v>
      </c>
      <c r="G3585" s="9">
        <v>439</v>
      </c>
      <c r="H3585" s="5" t="s">
        <v>21</v>
      </c>
      <c r="I3585" s="5" t="s">
        <v>8972</v>
      </c>
      <c r="J3585" s="12" t="str">
        <f>HYPERLINK("https://www.boe.es/gazeta/dias/1803/05/27/pdfs/GMD-1803-42.pdf#page=7","Abrir facsímil")</f>
        <v>Abrir facsímil</v>
      </c>
      <c r="K3585" s="15" t="s">
        <v>23</v>
      </c>
    </row>
    <row r="3586" spans="1:11" ht="42" customHeight="1">
      <c r="A3586" s="4" t="s">
        <v>8970</v>
      </c>
      <c r="B3586" s="5" t="s">
        <v>8971</v>
      </c>
      <c r="C3586" s="5" t="s">
        <v>26</v>
      </c>
      <c r="D3586" s="5" t="s">
        <v>27</v>
      </c>
      <c r="E3586" s="5" t="s">
        <v>64</v>
      </c>
      <c r="F3586" s="9">
        <v>65</v>
      </c>
      <c r="G3586" s="9">
        <v>709</v>
      </c>
      <c r="H3586" s="5" t="s">
        <v>21</v>
      </c>
      <c r="I3586" s="5" t="s">
        <v>8973</v>
      </c>
      <c r="J3586" s="12" t="str">
        <f>HYPERLINK("https://www.boe.es/gazeta/dias/1803/08/16/pdfs/GMD-1803-65.pdf#page=9","Abrir facsímil")</f>
        <v>Abrir facsímil</v>
      </c>
      <c r="K3586" s="15" t="s">
        <v>23</v>
      </c>
    </row>
    <row r="3587" spans="1:11" ht="42" customHeight="1">
      <c r="A3587" s="4" t="s">
        <v>8974</v>
      </c>
      <c r="B3587" s="5" t="s">
        <v>8974</v>
      </c>
      <c r="C3587" s="5" t="s">
        <v>26</v>
      </c>
      <c r="D3587" s="5" t="s">
        <v>27</v>
      </c>
      <c r="E3587" s="5" t="s">
        <v>439</v>
      </c>
      <c r="F3587" s="9">
        <v>76</v>
      </c>
      <c r="G3587" s="9">
        <v>814</v>
      </c>
      <c r="H3587" s="5" t="s">
        <v>21</v>
      </c>
      <c r="I3587" s="5" t="s">
        <v>8975</v>
      </c>
      <c r="J3587" s="12" t="str">
        <f>HYPERLINK("https://www.boe.es/gazeta/dias/1803/09/20/pdfs/GMD-1803-76.pdf#page=2","Abrir facsímil")</f>
        <v>Abrir facsímil</v>
      </c>
      <c r="K3587" s="15" t="s">
        <v>23</v>
      </c>
    </row>
    <row r="3588" spans="1:11" ht="42" customHeight="1">
      <c r="A3588" s="4" t="s">
        <v>8976</v>
      </c>
      <c r="B3588" s="5" t="s">
        <v>8976</v>
      </c>
      <c r="C3588" s="5" t="s">
        <v>40</v>
      </c>
      <c r="D3588" s="5" t="s">
        <v>41</v>
      </c>
      <c r="E3588" s="5" t="s">
        <v>53</v>
      </c>
      <c r="F3588" s="9">
        <v>99</v>
      </c>
      <c r="G3588" s="9">
        <v>1057</v>
      </c>
      <c r="H3588" s="5" t="s">
        <v>21</v>
      </c>
      <c r="I3588" s="5" t="s">
        <v>8977</v>
      </c>
      <c r="J3588" s="12" t="str">
        <f>HYPERLINK("https://www.boe.es/gazeta/dias/1803/12/09/pdfs/GMD-1803-99.pdf#page=5","Abrir facsímil")</f>
        <v>Abrir facsímil</v>
      </c>
      <c r="K3588" s="15" t="s">
        <v>23</v>
      </c>
    </row>
    <row r="3589" spans="1:11" ht="42" customHeight="1">
      <c r="A3589" s="4" t="s">
        <v>8978</v>
      </c>
      <c r="B3589" s="5" t="s">
        <v>8978</v>
      </c>
      <c r="C3589" s="5" t="s">
        <v>26</v>
      </c>
      <c r="D3589" s="5" t="s">
        <v>27</v>
      </c>
      <c r="E3589" s="5" t="s">
        <v>303</v>
      </c>
      <c r="F3589" s="9">
        <v>8</v>
      </c>
      <c r="G3589" s="9">
        <v>73</v>
      </c>
      <c r="H3589" s="5" t="s">
        <v>21</v>
      </c>
      <c r="I3589" s="5" t="s">
        <v>8979</v>
      </c>
      <c r="J3589" s="12" t="str">
        <f>HYPERLINK("https://www.boe.es/gazeta/dias/1803/01/28/pdfs/GMD-1803-8.pdf#page=1","Abrir facsímil")</f>
        <v>Abrir facsímil</v>
      </c>
      <c r="K3589" s="15" t="s">
        <v>23</v>
      </c>
    </row>
    <row r="3590" spans="1:11" ht="42" customHeight="1">
      <c r="A3590" s="4" t="s">
        <v>8980</v>
      </c>
      <c r="B3590" s="5" t="s">
        <v>8981</v>
      </c>
      <c r="C3590" s="5" t="s">
        <v>40</v>
      </c>
      <c r="D3590" s="5" t="s">
        <v>41</v>
      </c>
      <c r="E3590" s="5" t="s">
        <v>784</v>
      </c>
      <c r="F3590" s="9">
        <v>86</v>
      </c>
      <c r="G3590" s="9">
        <v>927</v>
      </c>
      <c r="H3590" s="5" t="s">
        <v>21</v>
      </c>
      <c r="I3590" s="5" t="s">
        <v>8982</v>
      </c>
      <c r="J3590" s="12" t="str">
        <f>HYPERLINK("https://www.boe.es/gazeta/dias/1803/10/25/pdfs/GMD-1803-86.pdf#page=7","Abrir facsímil")</f>
        <v>Abrir facsímil</v>
      </c>
      <c r="K3590" s="15" t="s">
        <v>23</v>
      </c>
    </row>
    <row r="3591" spans="1:11" ht="42" customHeight="1">
      <c r="A3591" s="4" t="s">
        <v>8983</v>
      </c>
      <c r="B3591" s="5" t="s">
        <v>8984</v>
      </c>
      <c r="C3591" s="5" t="s">
        <v>51</v>
      </c>
      <c r="D3591" s="5" t="s">
        <v>52</v>
      </c>
      <c r="E3591" s="5" t="s">
        <v>882</v>
      </c>
      <c r="F3591" s="9">
        <v>60</v>
      </c>
      <c r="G3591" s="9">
        <v>656</v>
      </c>
      <c r="H3591" s="5" t="s">
        <v>21</v>
      </c>
      <c r="I3591" s="5" t="s">
        <v>8985</v>
      </c>
      <c r="J3591" s="12" t="str">
        <f>HYPERLINK("https://www.boe.es/gazeta/dias/1803/07/29/pdfs/GMD-1803-60.pdf#page=8","Abrir facsímil")</f>
        <v>Abrir facsímil</v>
      </c>
      <c r="K3591" s="15" t="s">
        <v>23</v>
      </c>
    </row>
    <row r="3592" spans="1:11" ht="42" customHeight="1">
      <c r="A3592" s="4" t="s">
        <v>8986</v>
      </c>
      <c r="B3592" s="5" t="s">
        <v>8987</v>
      </c>
      <c r="C3592" s="5" t="s">
        <v>46</v>
      </c>
      <c r="D3592" s="5" t="s">
        <v>19</v>
      </c>
      <c r="E3592" s="5" t="s">
        <v>174</v>
      </c>
      <c r="F3592" s="9">
        <v>21</v>
      </c>
      <c r="G3592" s="9">
        <v>226</v>
      </c>
      <c r="H3592" s="5" t="s">
        <v>21</v>
      </c>
      <c r="I3592" s="5" t="s">
        <v>8988</v>
      </c>
      <c r="J3592" s="12" t="str">
        <f>HYPERLINK("https://www.boe.es/gazeta/dias/1803/03/15/pdfs/GMD-1803-21.pdf#page=10","Abrir facsímil")</f>
        <v>Abrir facsímil</v>
      </c>
      <c r="K3592" s="15" t="s">
        <v>23</v>
      </c>
    </row>
    <row r="3593" spans="1:11" ht="42" customHeight="1">
      <c r="A3593" s="4" t="s">
        <v>8986</v>
      </c>
      <c r="B3593" s="5" t="s">
        <v>8987</v>
      </c>
      <c r="C3593" s="5" t="s">
        <v>46</v>
      </c>
      <c r="D3593" s="5" t="s">
        <v>19</v>
      </c>
      <c r="E3593" s="5" t="s">
        <v>609</v>
      </c>
      <c r="F3593" s="9">
        <v>57</v>
      </c>
      <c r="G3593" s="9">
        <v>622</v>
      </c>
      <c r="H3593" s="5" t="s">
        <v>21</v>
      </c>
      <c r="I3593" s="5" t="s">
        <v>8989</v>
      </c>
      <c r="J3593" s="12" t="str">
        <f>HYPERLINK("https://www.boe.es/gazeta/dias/1803/07/19/pdfs/GMD-C-1803-57.pdf#page=2","Abrir facsímil")</f>
        <v>Abrir facsímil</v>
      </c>
      <c r="K3593" s="15" t="s">
        <v>23</v>
      </c>
    </row>
    <row r="3594" spans="1:11" ht="42" customHeight="1">
      <c r="A3594" s="4" t="s">
        <v>8986</v>
      </c>
      <c r="B3594" s="5" t="s">
        <v>8987</v>
      </c>
      <c r="C3594" s="5" t="s">
        <v>46</v>
      </c>
      <c r="D3594" s="5" t="s">
        <v>19</v>
      </c>
      <c r="E3594" s="5" t="s">
        <v>113</v>
      </c>
      <c r="F3594" s="9">
        <v>93</v>
      </c>
      <c r="G3594" s="9">
        <v>997</v>
      </c>
      <c r="H3594" s="5" t="s">
        <v>21</v>
      </c>
      <c r="I3594" s="5" t="s">
        <v>8990</v>
      </c>
      <c r="J3594" s="12" t="str">
        <f>HYPERLINK("https://www.boe.es/gazeta/dias/1803/11/18/pdfs/GMD-1803-93.pdf#page=9","Abrir facsímil")</f>
        <v>Abrir facsímil</v>
      </c>
      <c r="K3594" s="15" t="s">
        <v>23</v>
      </c>
    </row>
    <row r="3595" spans="1:11" ht="42" customHeight="1">
      <c r="A3595" s="4" t="s">
        <v>8986</v>
      </c>
      <c r="B3595" s="5" t="s">
        <v>8987</v>
      </c>
      <c r="C3595" s="5" t="s">
        <v>26</v>
      </c>
      <c r="D3595" s="5" t="s">
        <v>27</v>
      </c>
      <c r="E3595" s="5" t="s">
        <v>336</v>
      </c>
      <c r="F3595" s="9">
        <v>105</v>
      </c>
      <c r="G3595" s="9">
        <v>1122</v>
      </c>
      <c r="H3595" s="5" t="s">
        <v>21</v>
      </c>
      <c r="I3595" s="5" t="s">
        <v>8991</v>
      </c>
      <c r="J3595" s="12" t="str">
        <f>HYPERLINK("https://www.boe.es/gazeta/dias/1803/12/30/pdfs/GMD-1803-105.pdf#page=6","Abrir facsímil")</f>
        <v>Abrir facsímil</v>
      </c>
      <c r="K3595" s="15" t="s">
        <v>23</v>
      </c>
    </row>
    <row r="3596" spans="1:11" ht="42" customHeight="1">
      <c r="A3596" s="4" t="s">
        <v>8992</v>
      </c>
      <c r="B3596" s="5" t="s">
        <v>8993</v>
      </c>
      <c r="C3596" s="5" t="s">
        <v>40</v>
      </c>
      <c r="D3596" s="5" t="s">
        <v>41</v>
      </c>
      <c r="E3596" s="5" t="s">
        <v>336</v>
      </c>
      <c r="F3596" s="9">
        <v>105</v>
      </c>
      <c r="G3596" s="9">
        <v>1122</v>
      </c>
      <c r="H3596" s="5" t="s">
        <v>21</v>
      </c>
      <c r="I3596" s="5" t="s">
        <v>8994</v>
      </c>
      <c r="J3596" s="12" t="str">
        <f>HYPERLINK("https://www.boe.es/gazeta/dias/1803/12/30/pdfs/GMD-1803-105.pdf#page=6","Abrir facsímil")</f>
        <v>Abrir facsímil</v>
      </c>
      <c r="K3596" s="15" t="s">
        <v>23</v>
      </c>
    </row>
    <row r="3597" spans="1:11" ht="42" customHeight="1">
      <c r="A3597" s="4" t="s">
        <v>8995</v>
      </c>
      <c r="B3597" s="5" t="s">
        <v>8995</v>
      </c>
      <c r="C3597" s="5" t="s">
        <v>80</v>
      </c>
      <c r="D3597" s="5" t="s">
        <v>81</v>
      </c>
      <c r="E3597" s="5" t="s">
        <v>609</v>
      </c>
      <c r="F3597" s="9">
        <v>57</v>
      </c>
      <c r="G3597" s="9">
        <v>613</v>
      </c>
      <c r="H3597" s="5" t="s">
        <v>21</v>
      </c>
      <c r="I3597" s="5" t="s">
        <v>8996</v>
      </c>
      <c r="J3597" s="12" t="str">
        <f>HYPERLINK("https://www.boe.es/gazeta/dias/1803/07/19/pdfs/GMD-1803-57.pdf#page=1","Abrir facsímil")</f>
        <v>Abrir facsímil</v>
      </c>
      <c r="K3597" s="15" t="s">
        <v>23</v>
      </c>
    </row>
    <row r="3598" spans="1:11" ht="42" customHeight="1">
      <c r="A3598" s="4" t="s">
        <v>8997</v>
      </c>
      <c r="B3598" s="5" t="s">
        <v>8997</v>
      </c>
      <c r="C3598" s="5" t="s">
        <v>40</v>
      </c>
      <c r="D3598" s="5" t="s">
        <v>41</v>
      </c>
      <c r="E3598" s="5" t="s">
        <v>75</v>
      </c>
      <c r="F3598" s="9">
        <v>56</v>
      </c>
      <c r="G3598" s="9">
        <v>606</v>
      </c>
      <c r="H3598" s="5" t="s">
        <v>21</v>
      </c>
      <c r="I3598" s="5" t="s">
        <v>8998</v>
      </c>
      <c r="J3598" s="12" t="str">
        <f>HYPERLINK("https://www.boe.es/gazeta/dias/1803/07/15/pdfs/GMD-1803-56.pdf#page=2","Abrir facsímil")</f>
        <v>Abrir facsímil</v>
      </c>
      <c r="K3598" s="15" t="s">
        <v>23</v>
      </c>
    </row>
    <row r="3599" spans="1:11" ht="42" customHeight="1">
      <c r="A3599" s="4" t="s">
        <v>8999</v>
      </c>
      <c r="B3599" s="5" t="s">
        <v>9000</v>
      </c>
      <c r="C3599" s="5" t="s">
        <v>26</v>
      </c>
      <c r="D3599" s="5" t="s">
        <v>27</v>
      </c>
      <c r="E3599" s="5" t="s">
        <v>199</v>
      </c>
      <c r="F3599" s="9">
        <v>88</v>
      </c>
      <c r="G3599" s="9">
        <v>947</v>
      </c>
      <c r="H3599" s="5" t="s">
        <v>21</v>
      </c>
      <c r="I3599" s="5" t="s">
        <v>9001</v>
      </c>
      <c r="J3599" s="12" t="str">
        <f>HYPERLINK("https://www.boe.es/gazeta/dias/1803/11/01/pdfs/GMD-1803-88.pdf#page=7","Abrir facsímil")</f>
        <v>Abrir facsímil</v>
      </c>
      <c r="K3599" s="15" t="s">
        <v>23</v>
      </c>
    </row>
    <row r="3600" spans="1:11" ht="42" customHeight="1">
      <c r="A3600" s="4" t="s">
        <v>9002</v>
      </c>
      <c r="B3600" s="5" t="s">
        <v>9003</v>
      </c>
      <c r="C3600" s="5" t="s">
        <v>26</v>
      </c>
      <c r="D3600" s="5" t="s">
        <v>27</v>
      </c>
      <c r="E3600" s="5" t="s">
        <v>285</v>
      </c>
      <c r="F3600" s="9">
        <v>5</v>
      </c>
      <c r="G3600" s="9">
        <v>46</v>
      </c>
      <c r="H3600" s="5" t="s">
        <v>21</v>
      </c>
      <c r="I3600" s="5" t="s">
        <v>9004</v>
      </c>
      <c r="J3600" s="12" t="str">
        <f>HYPERLINK("https://www.boe.es/gazeta/dias/1803/01/18/pdfs/GMD-1803-5.pdf#page=10","Abrir facsímil")</f>
        <v>Abrir facsímil</v>
      </c>
      <c r="K3600" s="15" t="s">
        <v>23</v>
      </c>
    </row>
    <row r="3601" spans="1:11" ht="42" customHeight="1">
      <c r="A3601" s="4" t="s">
        <v>9002</v>
      </c>
      <c r="B3601" s="5" t="s">
        <v>9003</v>
      </c>
      <c r="C3601" s="5" t="s">
        <v>46</v>
      </c>
      <c r="D3601" s="5" t="s">
        <v>19</v>
      </c>
      <c r="E3601" s="5" t="s">
        <v>336</v>
      </c>
      <c r="F3601" s="9">
        <v>105</v>
      </c>
      <c r="G3601" s="9">
        <v>1122</v>
      </c>
      <c r="H3601" s="5" t="s">
        <v>21</v>
      </c>
      <c r="I3601" s="5" t="s">
        <v>9005</v>
      </c>
      <c r="J3601" s="12" t="str">
        <f>HYPERLINK("https://www.boe.es/gazeta/dias/1803/12/30/pdfs/GMD-1803-105.pdf#page=6","Abrir facsímil")</f>
        <v>Abrir facsímil</v>
      </c>
      <c r="K3601" s="15" t="s">
        <v>23</v>
      </c>
    </row>
    <row r="3602" spans="1:11" ht="42" customHeight="1">
      <c r="A3602" s="4" t="s">
        <v>9006</v>
      </c>
      <c r="B3602" s="5" t="s">
        <v>9007</v>
      </c>
      <c r="C3602" s="5" t="s">
        <v>46</v>
      </c>
      <c r="D3602" s="5" t="s">
        <v>19</v>
      </c>
      <c r="E3602" s="5" t="s">
        <v>191</v>
      </c>
      <c r="F3602" s="9">
        <v>34</v>
      </c>
      <c r="G3602" s="9">
        <v>360</v>
      </c>
      <c r="H3602" s="5" t="s">
        <v>21</v>
      </c>
      <c r="I3602" s="5" t="s">
        <v>9008</v>
      </c>
      <c r="J3602" s="12" t="str">
        <f>HYPERLINK("https://www.boe.es/gazeta/dias/1803/04/29/pdfs/GMD-1803-34.pdf#page=8","Abrir facsímil")</f>
        <v>Abrir facsímil</v>
      </c>
      <c r="K3602" s="15" t="s">
        <v>23</v>
      </c>
    </row>
    <row r="3603" spans="1:11" ht="42" customHeight="1">
      <c r="A3603" s="4" t="s">
        <v>9009</v>
      </c>
      <c r="B3603" s="5" t="s">
        <v>9010</v>
      </c>
      <c r="C3603" s="5" t="s">
        <v>51</v>
      </c>
      <c r="D3603" s="5" t="s">
        <v>52</v>
      </c>
      <c r="E3603" s="5" t="s">
        <v>174</v>
      </c>
      <c r="F3603" s="9">
        <v>21</v>
      </c>
      <c r="G3603" s="9">
        <v>225</v>
      </c>
      <c r="H3603" s="5" t="s">
        <v>21</v>
      </c>
      <c r="I3603" s="5" t="s">
        <v>9011</v>
      </c>
      <c r="J3603" s="12" t="str">
        <f>HYPERLINK("https://www.boe.es/gazeta/dias/1803/03/15/pdfs/GMD-1803-21.pdf#page=9","Abrir facsímil")</f>
        <v>Abrir facsímil</v>
      </c>
      <c r="K3603" s="15" t="s">
        <v>23</v>
      </c>
    </row>
    <row r="3604" spans="1:11" ht="42" customHeight="1">
      <c r="A3604" s="4" t="s">
        <v>9009</v>
      </c>
      <c r="B3604" s="5" t="s">
        <v>9010</v>
      </c>
      <c r="C3604" s="5" t="s">
        <v>225</v>
      </c>
      <c r="D3604" s="5" t="s">
        <v>226</v>
      </c>
      <c r="E3604" s="5" t="s">
        <v>609</v>
      </c>
      <c r="F3604" s="9">
        <v>57</v>
      </c>
      <c r="G3604" s="9">
        <v>622</v>
      </c>
      <c r="H3604" s="5" t="s">
        <v>21</v>
      </c>
      <c r="I3604" s="5" t="s">
        <v>9012</v>
      </c>
      <c r="J3604" s="12" t="str">
        <f>HYPERLINK("https://www.boe.es/gazeta/dias/1803/07/19/pdfs/GMD-C-1803-57.pdf#page=2","Abrir facsímil")</f>
        <v>Abrir facsímil</v>
      </c>
      <c r="K3604" s="15" t="s">
        <v>23</v>
      </c>
    </row>
    <row r="3605" spans="1:11" ht="42" customHeight="1">
      <c r="A3605" s="4" t="s">
        <v>9009</v>
      </c>
      <c r="B3605" s="5" t="s">
        <v>9010</v>
      </c>
      <c r="C3605" s="5" t="s">
        <v>51</v>
      </c>
      <c r="D3605" s="5" t="s">
        <v>52</v>
      </c>
      <c r="E3605" s="5" t="s">
        <v>113</v>
      </c>
      <c r="F3605" s="9">
        <v>93</v>
      </c>
      <c r="G3605" s="9">
        <v>997</v>
      </c>
      <c r="H3605" s="5" t="s">
        <v>21</v>
      </c>
      <c r="I3605" s="5" t="s">
        <v>9013</v>
      </c>
      <c r="J3605" s="12" t="str">
        <f>HYPERLINK("https://www.boe.es/gazeta/dias/1803/11/18/pdfs/GMD-1803-93.pdf#page=9","Abrir facsímil")</f>
        <v>Abrir facsímil</v>
      </c>
      <c r="K3605" s="15" t="s">
        <v>23</v>
      </c>
    </row>
    <row r="3606" spans="1:11" ht="42" customHeight="1">
      <c r="A3606" s="4" t="s">
        <v>9014</v>
      </c>
      <c r="B3606" s="5" t="s">
        <v>9014</v>
      </c>
      <c r="C3606" s="5" t="s">
        <v>26</v>
      </c>
      <c r="D3606" s="5" t="s">
        <v>27</v>
      </c>
      <c r="E3606" s="5" t="s">
        <v>523</v>
      </c>
      <c r="F3606" s="9">
        <v>101</v>
      </c>
      <c r="G3606" s="9">
        <v>1087</v>
      </c>
      <c r="H3606" s="5" t="s">
        <v>21</v>
      </c>
      <c r="I3606" s="5" t="s">
        <v>9015</v>
      </c>
      <c r="J3606" s="12" t="str">
        <f>HYPERLINK("https://www.boe.es/gazeta/dias/1803/12/16/pdfs/GMD-1803-101.pdf#page=11","Abrir facsímil")</f>
        <v>Abrir facsímil</v>
      </c>
      <c r="K3606" s="15" t="s">
        <v>23</v>
      </c>
    </row>
    <row r="3607" spans="1:11" ht="42" customHeight="1">
      <c r="A3607" s="4" t="s">
        <v>9016</v>
      </c>
      <c r="B3607" s="5" t="s">
        <v>9017</v>
      </c>
      <c r="C3607" s="5" t="s">
        <v>18</v>
      </c>
      <c r="D3607" s="5" t="s">
        <v>19</v>
      </c>
      <c r="E3607" s="5" t="s">
        <v>361</v>
      </c>
      <c r="F3607" s="9">
        <v>62</v>
      </c>
      <c r="G3607" s="9">
        <v>676</v>
      </c>
      <c r="H3607" s="5" t="s">
        <v>21</v>
      </c>
      <c r="I3607" s="5" t="s">
        <v>9018</v>
      </c>
      <c r="J3607" s="12" t="str">
        <f>HYPERLINK("https://www.boe.es/gazeta/dias/1803/08/05/pdfs/GMD-1803-62.pdf#page=8","Abrir facsímil")</f>
        <v>Abrir facsímil</v>
      </c>
      <c r="K3607" s="15" t="s">
        <v>23</v>
      </c>
    </row>
    <row r="3608" spans="1:11" ht="42" customHeight="1">
      <c r="A3608" s="4" t="s">
        <v>9019</v>
      </c>
      <c r="B3608" s="5" t="s">
        <v>9019</v>
      </c>
      <c r="C3608" s="5" t="s">
        <v>26</v>
      </c>
      <c r="D3608" s="5" t="s">
        <v>27</v>
      </c>
      <c r="E3608" s="5" t="s">
        <v>109</v>
      </c>
      <c r="F3608" s="9">
        <v>102</v>
      </c>
      <c r="G3608" s="9">
        <v>1100</v>
      </c>
      <c r="H3608" s="5" t="s">
        <v>21</v>
      </c>
      <c r="I3608" s="5" t="s">
        <v>9020</v>
      </c>
      <c r="J3608" s="12" t="str">
        <f>HYPERLINK("https://www.boe.es/gazeta/dias/1803/12/20/pdfs/GMD-1803-102.pdf#page=12","Abrir facsímil")</f>
        <v>Abrir facsímil</v>
      </c>
      <c r="K3608" s="15" t="s">
        <v>23</v>
      </c>
    </row>
    <row r="3609" spans="1:11" ht="42" customHeight="1">
      <c r="A3609" s="4" t="s">
        <v>9021</v>
      </c>
      <c r="B3609" s="5" t="s">
        <v>9022</v>
      </c>
      <c r="C3609" s="5" t="s">
        <v>26</v>
      </c>
      <c r="D3609" s="5" t="s">
        <v>27</v>
      </c>
      <c r="E3609" s="5" t="s">
        <v>519</v>
      </c>
      <c r="F3609" s="9">
        <v>50</v>
      </c>
      <c r="G3609" s="9">
        <v>541</v>
      </c>
      <c r="H3609" s="5" t="s">
        <v>21</v>
      </c>
      <c r="I3609" s="5" t="s">
        <v>9023</v>
      </c>
      <c r="J3609" s="12" t="str">
        <f>HYPERLINK("https://www.boe.es/gazeta/dias/1803/06/24/pdfs/GMD-1803-50.pdf#page=9","Abrir facsímil")</f>
        <v>Abrir facsímil</v>
      </c>
      <c r="K3609" s="15" t="s">
        <v>23</v>
      </c>
    </row>
    <row r="3610" spans="1:11" ht="42" customHeight="1">
      <c r="A3610" s="4" t="s">
        <v>9024</v>
      </c>
      <c r="B3610" s="5" t="s">
        <v>9025</v>
      </c>
      <c r="C3610" s="5" t="s">
        <v>51</v>
      </c>
      <c r="D3610" s="5" t="s">
        <v>52</v>
      </c>
      <c r="E3610" s="5" t="s">
        <v>71</v>
      </c>
      <c r="F3610" s="9">
        <v>39</v>
      </c>
      <c r="G3610" s="9">
        <v>414</v>
      </c>
      <c r="H3610" s="5" t="s">
        <v>21</v>
      </c>
      <c r="I3610" s="5" t="s">
        <v>9026</v>
      </c>
      <c r="J3610" s="12" t="str">
        <f>HYPERLINK("https://www.boe.es/gazeta/dias/1803/05/17/pdfs/GMD-1803-39.pdf#page=10","Abrir facsímil")</f>
        <v>Abrir facsímil</v>
      </c>
      <c r="K3610" s="15" t="s">
        <v>23</v>
      </c>
    </row>
    <row r="3611" spans="1:11" ht="42" customHeight="1">
      <c r="A3611" s="4" t="s">
        <v>9027</v>
      </c>
      <c r="B3611" s="5" t="s">
        <v>9028</v>
      </c>
      <c r="C3611" s="5" t="s">
        <v>26</v>
      </c>
      <c r="D3611" s="5" t="s">
        <v>27</v>
      </c>
      <c r="E3611" s="5" t="s">
        <v>967</v>
      </c>
      <c r="F3611" s="9">
        <v>35</v>
      </c>
      <c r="G3611" s="9">
        <v>367</v>
      </c>
      <c r="H3611" s="5" t="s">
        <v>21</v>
      </c>
      <c r="I3611" s="5" t="s">
        <v>9029</v>
      </c>
      <c r="J3611" s="12" t="str">
        <f>HYPERLINK("https://www.boe.es/gazeta/dias/1803/05/03/pdfs/GMD-1803-35.pdf#page=7","Abrir facsímil")</f>
        <v>Abrir facsímil</v>
      </c>
      <c r="K3611" s="15" t="s">
        <v>23</v>
      </c>
    </row>
    <row r="3612" spans="1:11" ht="42" customHeight="1">
      <c r="A3612" s="4" t="s">
        <v>9030</v>
      </c>
      <c r="B3612" s="5" t="s">
        <v>9031</v>
      </c>
      <c r="C3612" s="5" t="s">
        <v>51</v>
      </c>
      <c r="D3612" s="5" t="s">
        <v>52</v>
      </c>
      <c r="E3612" s="5" t="s">
        <v>328</v>
      </c>
      <c r="F3612" s="9">
        <v>54</v>
      </c>
      <c r="G3612" s="9">
        <v>591</v>
      </c>
      <c r="H3612" s="5" t="s">
        <v>21</v>
      </c>
      <c r="I3612" s="5" t="s">
        <v>9032</v>
      </c>
      <c r="J3612" s="12" t="str">
        <f>HYPERLINK("https://www.boe.es/gazeta/dias/1803/07/08/pdfs/GMD-1803-54.pdf#page=11","Abrir facsímil")</f>
        <v>Abrir facsímil</v>
      </c>
      <c r="K3612" s="15" t="s">
        <v>23</v>
      </c>
    </row>
    <row r="3613" spans="1:11" ht="42" customHeight="1">
      <c r="A3613" s="4" t="s">
        <v>9033</v>
      </c>
      <c r="B3613" s="5" t="s">
        <v>9034</v>
      </c>
      <c r="C3613" s="5" t="s">
        <v>26</v>
      </c>
      <c r="D3613" s="5" t="s">
        <v>27</v>
      </c>
      <c r="E3613" s="5" t="s">
        <v>619</v>
      </c>
      <c r="F3613" s="9">
        <v>53</v>
      </c>
      <c r="G3613" s="9">
        <v>579</v>
      </c>
      <c r="H3613" s="5" t="s">
        <v>21</v>
      </c>
      <c r="I3613" s="5" t="s">
        <v>9035</v>
      </c>
      <c r="J3613" s="12" t="str">
        <f>HYPERLINK("https://www.boe.es/gazeta/dias/1803/07/05/pdfs/GMD-1803-53.pdf#page=11","Abrir facsímil")</f>
        <v>Abrir facsímil</v>
      </c>
      <c r="K3613" s="15" t="s">
        <v>23</v>
      </c>
    </row>
    <row r="3614" spans="1:11" ht="42" customHeight="1">
      <c r="A3614" s="4" t="s">
        <v>9036</v>
      </c>
      <c r="B3614" s="5" t="s">
        <v>9036</v>
      </c>
      <c r="C3614" s="5" t="s">
        <v>40</v>
      </c>
      <c r="D3614" s="5" t="s">
        <v>41</v>
      </c>
      <c r="E3614" s="5" t="s">
        <v>132</v>
      </c>
      <c r="F3614" s="9">
        <v>58</v>
      </c>
      <c r="G3614" s="9">
        <v>634</v>
      </c>
      <c r="H3614" s="5" t="s">
        <v>21</v>
      </c>
      <c r="I3614" s="5" t="s">
        <v>9037</v>
      </c>
      <c r="J3614" s="12" t="str">
        <f>HYPERLINK("https://www.boe.es/gazeta/dias/1803/07/22/pdfs/GMD-1803-58.pdf#page=6","Abrir facsímil")</f>
        <v>Abrir facsímil</v>
      </c>
      <c r="K3614" s="15" t="s">
        <v>23</v>
      </c>
    </row>
    <row r="3615" spans="1:11" ht="42" customHeight="1">
      <c r="A3615" s="4" t="s">
        <v>9038</v>
      </c>
      <c r="B3615" s="5" t="s">
        <v>9039</v>
      </c>
      <c r="C3615" s="5" t="s">
        <v>26</v>
      </c>
      <c r="D3615" s="5" t="s">
        <v>27</v>
      </c>
      <c r="E3615" s="5" t="s">
        <v>191</v>
      </c>
      <c r="F3615" s="9">
        <v>34</v>
      </c>
      <c r="G3615" s="9" t="s">
        <v>1985</v>
      </c>
      <c r="H3615" s="5" t="s">
        <v>21</v>
      </c>
      <c r="I3615" s="5" t="s">
        <v>9040</v>
      </c>
      <c r="J3615" s="12" t="str">
        <f>HYPERLINK("https://www.boe.es/gazeta/dias/1803/04/29/pdfs/GMD-C-1803-34.pdf#page=8","Abrir facsímil")</f>
        <v>Abrir facsímil</v>
      </c>
      <c r="K3615" s="15" t="s">
        <v>23</v>
      </c>
    </row>
    <row r="3616" spans="1:11" ht="42" customHeight="1">
      <c r="A3616" s="4" t="s">
        <v>9041</v>
      </c>
      <c r="B3616" s="5" t="s">
        <v>9042</v>
      </c>
      <c r="C3616" s="5" t="s">
        <v>26</v>
      </c>
      <c r="D3616" s="5" t="s">
        <v>27</v>
      </c>
      <c r="E3616" s="5" t="s">
        <v>630</v>
      </c>
      <c r="F3616" s="9">
        <v>85</v>
      </c>
      <c r="G3616" s="9">
        <v>917</v>
      </c>
      <c r="H3616" s="5" t="s">
        <v>21</v>
      </c>
      <c r="I3616" s="5" t="s">
        <v>9043</v>
      </c>
      <c r="J3616" s="12" t="str">
        <f>HYPERLINK("https://www.boe.es/gazeta/dias/1803/10/21/pdfs/GMD-1803-85.pdf#page=9","Abrir facsímil")</f>
        <v>Abrir facsímil</v>
      </c>
      <c r="K3616" s="15" t="s">
        <v>23</v>
      </c>
    </row>
    <row r="3617" spans="1:11" ht="42" customHeight="1">
      <c r="A3617" s="4" t="s">
        <v>9044</v>
      </c>
      <c r="B3617" s="5" t="s">
        <v>9045</v>
      </c>
      <c r="C3617" s="5" t="s">
        <v>18</v>
      </c>
      <c r="D3617" s="5" t="s">
        <v>19</v>
      </c>
      <c r="E3617" s="5" t="s">
        <v>203</v>
      </c>
      <c r="F3617" s="9">
        <v>32</v>
      </c>
      <c r="G3617" s="9">
        <v>336</v>
      </c>
      <c r="H3617" s="5" t="s">
        <v>21</v>
      </c>
      <c r="I3617" s="5" t="s">
        <v>9046</v>
      </c>
      <c r="J3617" s="12" t="str">
        <f>HYPERLINK("https://www.boe.es/gazeta/dias/1803/04/22/pdfs/GMD-1803-32.pdf#page=8","Abrir facsímil")</f>
        <v>Abrir facsímil</v>
      </c>
      <c r="K3617" s="15" t="s">
        <v>23</v>
      </c>
    </row>
    <row r="3618" spans="1:11" ht="42" customHeight="1">
      <c r="A3618" s="4" t="s">
        <v>9047</v>
      </c>
      <c r="B3618" s="5" t="s">
        <v>9048</v>
      </c>
      <c r="C3618" s="5" t="s">
        <v>26</v>
      </c>
      <c r="D3618" s="5" t="s">
        <v>27</v>
      </c>
      <c r="E3618" s="5" t="s">
        <v>71</v>
      </c>
      <c r="F3618" s="9">
        <v>39</v>
      </c>
      <c r="G3618" s="9">
        <v>413</v>
      </c>
      <c r="H3618" s="5" t="s">
        <v>21</v>
      </c>
      <c r="I3618" s="5" t="s">
        <v>9049</v>
      </c>
      <c r="J3618" s="12" t="str">
        <f>HYPERLINK("https://www.boe.es/gazeta/dias/1803/05/17/pdfs/GMD-1803-39.pdf#page=9","Abrir facsímil")</f>
        <v>Abrir facsímil</v>
      </c>
      <c r="K3618" s="15" t="s">
        <v>23</v>
      </c>
    </row>
    <row r="3619" spans="1:11" ht="42" customHeight="1">
      <c r="A3619" s="4" t="s">
        <v>9050</v>
      </c>
      <c r="B3619" s="5" t="s">
        <v>9050</v>
      </c>
      <c r="C3619" s="5" t="s">
        <v>40</v>
      </c>
      <c r="D3619" s="5" t="s">
        <v>41</v>
      </c>
      <c r="E3619" s="5" t="s">
        <v>361</v>
      </c>
      <c r="F3619" s="9">
        <v>62</v>
      </c>
      <c r="G3619" s="9">
        <v>674</v>
      </c>
      <c r="H3619" s="5" t="s">
        <v>21</v>
      </c>
      <c r="I3619" s="5" t="s">
        <v>9051</v>
      </c>
      <c r="J3619" s="12" t="str">
        <f>HYPERLINK("https://www.boe.es/gazeta/dias/1803/08/05/pdfs/GMD-1803-62.pdf#page=6","Abrir facsímil")</f>
        <v>Abrir facsímil</v>
      </c>
      <c r="K3619" s="15" t="s">
        <v>23</v>
      </c>
    </row>
    <row r="3620" spans="1:11" ht="42" customHeight="1">
      <c r="A3620" s="4" t="s">
        <v>9052</v>
      </c>
      <c r="B3620" s="5" t="s">
        <v>9053</v>
      </c>
      <c r="C3620" s="5" t="s">
        <v>18</v>
      </c>
      <c r="D3620" s="5" t="s">
        <v>19</v>
      </c>
      <c r="E3620" s="5" t="s">
        <v>588</v>
      </c>
      <c r="F3620" s="9">
        <v>63</v>
      </c>
      <c r="G3620" s="9">
        <v>687</v>
      </c>
      <c r="H3620" s="5" t="s">
        <v>21</v>
      </c>
      <c r="I3620" s="5" t="s">
        <v>9054</v>
      </c>
      <c r="J3620" s="12" t="str">
        <f>HYPERLINK("https://www.boe.es/gazeta/dias/1803/08/09/pdfs/GMD-1803-63.pdf#page=7","Abrir facsímil")</f>
        <v>Abrir facsímil</v>
      </c>
      <c r="K3620" s="15" t="s">
        <v>23</v>
      </c>
    </row>
    <row r="3621" spans="1:11" ht="42" customHeight="1">
      <c r="A3621" s="4" t="s">
        <v>9052</v>
      </c>
      <c r="B3621" s="5" t="s">
        <v>9053</v>
      </c>
      <c r="C3621" s="5" t="s">
        <v>26</v>
      </c>
      <c r="D3621" s="5" t="s">
        <v>27</v>
      </c>
      <c r="E3621" s="5" t="s">
        <v>496</v>
      </c>
      <c r="F3621" s="9">
        <v>90</v>
      </c>
      <c r="G3621" s="9">
        <v>966</v>
      </c>
      <c r="H3621" s="5" t="s">
        <v>21</v>
      </c>
      <c r="I3621" s="5" t="s">
        <v>9055</v>
      </c>
      <c r="J3621" s="12" t="str">
        <f>HYPERLINK("https://www.boe.es/gazeta/dias/1803/11/08/pdfs/GMD-1803-90.pdf#page=6","Abrir facsímil")</f>
        <v>Abrir facsímil</v>
      </c>
      <c r="K3621" s="15" t="s">
        <v>23</v>
      </c>
    </row>
    <row r="3622" spans="1:11" ht="42" customHeight="1">
      <c r="A3622" s="4" t="s">
        <v>9056</v>
      </c>
      <c r="B3622" s="5" t="s">
        <v>9057</v>
      </c>
      <c r="C3622" s="5" t="s">
        <v>26</v>
      </c>
      <c r="D3622" s="5" t="s">
        <v>27</v>
      </c>
      <c r="E3622" s="5" t="s">
        <v>203</v>
      </c>
      <c r="F3622" s="9">
        <v>32</v>
      </c>
      <c r="G3622" s="9">
        <v>336</v>
      </c>
      <c r="H3622" s="5" t="s">
        <v>21</v>
      </c>
      <c r="I3622" s="5" t="s">
        <v>9058</v>
      </c>
      <c r="J3622" s="12" t="str">
        <f>HYPERLINK("https://www.boe.es/gazeta/dias/1803/04/22/pdfs/GMD-1803-32.pdf#page=8","Abrir facsímil")</f>
        <v>Abrir facsímil</v>
      </c>
      <c r="K3622" s="15" t="s">
        <v>23</v>
      </c>
    </row>
    <row r="3623" spans="1:11" ht="42" customHeight="1">
      <c r="A3623" s="4" t="s">
        <v>9059</v>
      </c>
      <c r="B3623" s="5" t="s">
        <v>9059</v>
      </c>
      <c r="C3623" s="5" t="s">
        <v>26</v>
      </c>
      <c r="D3623" s="5" t="s">
        <v>27</v>
      </c>
      <c r="E3623" s="5" t="s">
        <v>189</v>
      </c>
      <c r="F3623" s="9">
        <v>9</v>
      </c>
      <c r="G3623" s="9">
        <v>93</v>
      </c>
      <c r="H3623" s="5" t="s">
        <v>21</v>
      </c>
      <c r="I3623" s="5" t="s">
        <v>9060</v>
      </c>
      <c r="J3623" s="12" t="str">
        <f>HYPERLINK("https://www.boe.es/gazeta/dias/1803/02/01/pdfs/GMD-1803-9.pdf#page=9","Abrir facsímil")</f>
        <v>Abrir facsímil</v>
      </c>
      <c r="K3623" s="15" t="s">
        <v>23</v>
      </c>
    </row>
    <row r="3624" spans="1:11" ht="42" customHeight="1">
      <c r="A3624" s="4" t="s">
        <v>9061</v>
      </c>
      <c r="B3624" s="5" t="s">
        <v>9062</v>
      </c>
      <c r="C3624" s="5" t="s">
        <v>26</v>
      </c>
      <c r="D3624" s="5" t="s">
        <v>27</v>
      </c>
      <c r="E3624" s="5" t="s">
        <v>480</v>
      </c>
      <c r="F3624" s="9">
        <v>87</v>
      </c>
      <c r="G3624" s="9">
        <v>939</v>
      </c>
      <c r="H3624" s="5" t="s">
        <v>21</v>
      </c>
      <c r="I3624" s="5" t="s">
        <v>9063</v>
      </c>
      <c r="J3624" s="12" t="str">
        <f>HYPERLINK("https://www.boe.es/gazeta/dias/1803/10/28/pdfs/GMD-1803-87.pdf#page=7","Abrir facsímil")</f>
        <v>Abrir facsímil</v>
      </c>
      <c r="K3624" s="15" t="s">
        <v>23</v>
      </c>
    </row>
    <row r="3625" spans="1:11" ht="42" customHeight="1">
      <c r="A3625" s="4" t="s">
        <v>9064</v>
      </c>
      <c r="B3625" s="5" t="s">
        <v>9065</v>
      </c>
      <c r="C3625" s="5" t="s">
        <v>26</v>
      </c>
      <c r="D3625" s="5" t="s">
        <v>27</v>
      </c>
      <c r="E3625" s="5" t="s">
        <v>207</v>
      </c>
      <c r="F3625" s="9">
        <v>27</v>
      </c>
      <c r="G3625" s="9">
        <v>292</v>
      </c>
      <c r="H3625" s="5" t="s">
        <v>21</v>
      </c>
      <c r="I3625" s="5" t="s">
        <v>9066</v>
      </c>
      <c r="J3625" s="12" t="str">
        <f>HYPERLINK("https://www.boe.es/gazeta/dias/1803/04/05/pdfs/GMD-1803-27.pdf#page=8","Abrir facsímil")</f>
        <v>Abrir facsímil</v>
      </c>
      <c r="K3625" s="15" t="s">
        <v>23</v>
      </c>
    </row>
    <row r="3626" spans="1:11" ht="42" customHeight="1">
      <c r="A3626" s="4" t="s">
        <v>9067</v>
      </c>
      <c r="B3626" s="5" t="s">
        <v>9068</v>
      </c>
      <c r="C3626" s="5" t="s">
        <v>51</v>
      </c>
      <c r="D3626" s="5" t="s">
        <v>52</v>
      </c>
      <c r="E3626" s="5" t="s">
        <v>93</v>
      </c>
      <c r="F3626" s="9">
        <v>43</v>
      </c>
      <c r="G3626" s="9">
        <v>450</v>
      </c>
      <c r="H3626" s="5" t="s">
        <v>21</v>
      </c>
      <c r="I3626" s="5" t="s">
        <v>9069</v>
      </c>
      <c r="J3626" s="12" t="str">
        <f>HYPERLINK("https://www.boe.es/gazeta/dias/1803/05/31/pdfs/GMD-1803-43.pdf#page=10","Abrir facsímil")</f>
        <v>Abrir facsímil</v>
      </c>
      <c r="K3626" s="15" t="s">
        <v>23</v>
      </c>
    </row>
    <row r="3627" spans="1:11" ht="42" customHeight="1">
      <c r="A3627" s="4" t="s">
        <v>9070</v>
      </c>
      <c r="B3627" s="5" t="s">
        <v>9071</v>
      </c>
      <c r="C3627" s="5" t="s">
        <v>40</v>
      </c>
      <c r="D3627" s="5" t="s">
        <v>41</v>
      </c>
      <c r="E3627" s="5" t="s">
        <v>178</v>
      </c>
      <c r="F3627" s="9">
        <v>36</v>
      </c>
      <c r="G3627" s="9">
        <v>373</v>
      </c>
      <c r="H3627" s="5" t="s">
        <v>21</v>
      </c>
      <c r="I3627" s="5" t="s">
        <v>9072</v>
      </c>
      <c r="J3627" s="12" t="str">
        <f>HYPERLINK("https://www.boe.es/gazeta/dias/1803/05/06/pdfs/GMD-1803-36.pdf#page=5","Abrir facsímil")</f>
        <v>Abrir facsímil</v>
      </c>
      <c r="K3627" s="15" t="s">
        <v>23</v>
      </c>
    </row>
    <row r="3628" spans="1:11" ht="42" customHeight="1">
      <c r="A3628" s="4" t="s">
        <v>9073</v>
      </c>
      <c r="B3628" s="5" t="s">
        <v>9074</v>
      </c>
      <c r="C3628" s="5" t="s">
        <v>26</v>
      </c>
      <c r="D3628" s="5" t="s">
        <v>27</v>
      </c>
      <c r="E3628" s="5" t="s">
        <v>83</v>
      </c>
      <c r="F3628" s="9">
        <v>28</v>
      </c>
      <c r="G3628" s="9">
        <v>304</v>
      </c>
      <c r="H3628" s="5" t="s">
        <v>21</v>
      </c>
      <c r="I3628" s="5" t="s">
        <v>9075</v>
      </c>
      <c r="J3628" s="12" t="str">
        <f>HYPERLINK("https://www.boe.es/gazeta/dias/1803/04/08/pdfs/GMD-1803-28.pdf#page=8","Abrir facsímil")</f>
        <v>Abrir facsímil</v>
      </c>
      <c r="K3628" s="15" t="s">
        <v>23</v>
      </c>
    </row>
    <row r="3629" spans="1:11" ht="42" customHeight="1">
      <c r="A3629" s="4" t="s">
        <v>9076</v>
      </c>
      <c r="B3629" s="5" t="s">
        <v>9077</v>
      </c>
      <c r="C3629" s="5" t="s">
        <v>26</v>
      </c>
      <c r="D3629" s="5" t="s">
        <v>27</v>
      </c>
      <c r="E3629" s="5" t="s">
        <v>555</v>
      </c>
      <c r="F3629" s="9">
        <v>83</v>
      </c>
      <c r="G3629" s="9">
        <v>894</v>
      </c>
      <c r="H3629" s="5" t="s">
        <v>21</v>
      </c>
      <c r="I3629" s="5" t="s">
        <v>9078</v>
      </c>
      <c r="J3629" s="12" t="str">
        <f>HYPERLINK("https://www.boe.es/gazeta/dias/1803/10/14/pdfs/GMD-1803-83.pdf#page=6","Abrir facsímil")</f>
        <v>Abrir facsímil</v>
      </c>
      <c r="K3629" s="15" t="s">
        <v>23</v>
      </c>
    </row>
    <row r="3630" spans="1:11" ht="42" customHeight="1">
      <c r="A3630" s="4" t="s">
        <v>9079</v>
      </c>
      <c r="B3630" s="5" t="s">
        <v>9079</v>
      </c>
      <c r="C3630" s="5" t="s">
        <v>40</v>
      </c>
      <c r="D3630" s="5" t="s">
        <v>41</v>
      </c>
      <c r="E3630" s="5" t="s">
        <v>619</v>
      </c>
      <c r="F3630" s="9">
        <v>53</v>
      </c>
      <c r="G3630" s="9">
        <v>571</v>
      </c>
      <c r="H3630" s="5" t="s">
        <v>21</v>
      </c>
      <c r="I3630" s="5" t="s">
        <v>9080</v>
      </c>
      <c r="J3630" s="12" t="str">
        <f>HYPERLINK("https://www.boe.es/gazeta/dias/1803/07/05/pdfs/GMD-1803-53.pdf#page=3","Abrir facsímil")</f>
        <v>Abrir facsímil</v>
      </c>
      <c r="K3630" s="15" t="s">
        <v>23</v>
      </c>
    </row>
    <row r="3631" spans="1:11" ht="42" customHeight="1">
      <c r="A3631" s="4" t="s">
        <v>9079</v>
      </c>
      <c r="B3631" s="5" t="s">
        <v>9079</v>
      </c>
      <c r="C3631" s="5" t="s">
        <v>40</v>
      </c>
      <c r="D3631" s="5" t="s">
        <v>41</v>
      </c>
      <c r="E3631" s="5" t="s">
        <v>619</v>
      </c>
      <c r="F3631" s="9">
        <v>53</v>
      </c>
      <c r="G3631" s="9">
        <v>573</v>
      </c>
      <c r="H3631" s="5" t="s">
        <v>21</v>
      </c>
      <c r="I3631" s="5" t="s">
        <v>9081</v>
      </c>
      <c r="J3631" s="12" t="str">
        <f>HYPERLINK("https://www.boe.es/gazeta/dias/1803/07/05/pdfs/GMD-1803-53.pdf#page=5","Abrir facsímil")</f>
        <v>Abrir facsímil</v>
      </c>
      <c r="K3631" s="15" t="s">
        <v>23</v>
      </c>
    </row>
    <row r="3632" spans="1:11" ht="42" customHeight="1">
      <c r="A3632" s="4" t="s">
        <v>9079</v>
      </c>
      <c r="B3632" s="5" t="s">
        <v>9079</v>
      </c>
      <c r="C3632" s="5" t="s">
        <v>40</v>
      </c>
      <c r="D3632" s="5" t="s">
        <v>41</v>
      </c>
      <c r="E3632" s="5" t="s">
        <v>619</v>
      </c>
      <c r="F3632" s="9">
        <v>53</v>
      </c>
      <c r="G3632" s="9">
        <v>574</v>
      </c>
      <c r="H3632" s="5" t="s">
        <v>21</v>
      </c>
      <c r="I3632" s="5" t="s">
        <v>9082</v>
      </c>
      <c r="J3632" s="12" t="str">
        <f>HYPERLINK("https://www.boe.es/gazeta/dias/1803/07/05/pdfs/GMD-1803-53.pdf#page=6","Abrir facsímil")</f>
        <v>Abrir facsímil</v>
      </c>
      <c r="K3632" s="15" t="s">
        <v>23</v>
      </c>
    </row>
    <row r="3633" spans="1:11" ht="42" customHeight="1">
      <c r="A3633" s="4" t="s">
        <v>9079</v>
      </c>
      <c r="B3633" s="5" t="s">
        <v>9079</v>
      </c>
      <c r="C3633" s="5" t="s">
        <v>51</v>
      </c>
      <c r="D3633" s="5" t="s">
        <v>52</v>
      </c>
      <c r="E3633" s="5" t="s">
        <v>340</v>
      </c>
      <c r="F3633" s="9">
        <v>55</v>
      </c>
      <c r="G3633" s="9">
        <v>599</v>
      </c>
      <c r="H3633" s="5" t="s">
        <v>21</v>
      </c>
      <c r="I3633" s="5" t="s">
        <v>9083</v>
      </c>
      <c r="J3633" s="12" t="str">
        <f>HYPERLINK("https://www.boe.es/gazeta/dias/1803/07/12/pdfs/GMD-1803-55.pdf#page=7","Abrir facsímil")</f>
        <v>Abrir facsímil</v>
      </c>
      <c r="K3633" s="15" t="s">
        <v>23</v>
      </c>
    </row>
    <row r="3634" spans="1:11" ht="42" customHeight="1">
      <c r="A3634" s="4" t="s">
        <v>9079</v>
      </c>
      <c r="B3634" s="5" t="s">
        <v>9079</v>
      </c>
      <c r="C3634" s="5" t="s">
        <v>40</v>
      </c>
      <c r="D3634" s="5" t="s">
        <v>41</v>
      </c>
      <c r="E3634" s="5" t="s">
        <v>132</v>
      </c>
      <c r="F3634" s="9">
        <v>58</v>
      </c>
      <c r="G3634" s="9">
        <v>635</v>
      </c>
      <c r="H3634" s="5" t="s">
        <v>21</v>
      </c>
      <c r="I3634" s="5" t="s">
        <v>9084</v>
      </c>
      <c r="J3634" s="12" t="str">
        <f>HYPERLINK("https://www.boe.es/gazeta/dias/1803/07/22/pdfs/GMD-1803-58.pdf#page=7","Abrir facsímil")</f>
        <v>Abrir facsímil</v>
      </c>
      <c r="K3634" s="15" t="s">
        <v>23</v>
      </c>
    </row>
    <row r="3635" spans="1:11" ht="42" customHeight="1">
      <c r="A3635" s="4" t="s">
        <v>9079</v>
      </c>
      <c r="B3635" s="5" t="s">
        <v>9079</v>
      </c>
      <c r="C3635" s="5" t="s">
        <v>80</v>
      </c>
      <c r="D3635" s="5" t="s">
        <v>81</v>
      </c>
      <c r="E3635" s="5" t="s">
        <v>882</v>
      </c>
      <c r="F3635" s="9">
        <v>60</v>
      </c>
      <c r="G3635" s="9">
        <v>651</v>
      </c>
      <c r="H3635" s="5" t="s">
        <v>21</v>
      </c>
      <c r="I3635" s="5" t="s">
        <v>9085</v>
      </c>
      <c r="J3635" s="12" t="str">
        <f>HYPERLINK("https://www.boe.es/gazeta/dias/1803/07/29/pdfs/GMD-1803-60.pdf#page=3","Abrir facsímil")</f>
        <v>Abrir facsímil</v>
      </c>
      <c r="K3635" s="15" t="s">
        <v>23</v>
      </c>
    </row>
    <row r="3636" spans="1:11" ht="42" customHeight="1">
      <c r="A3636" s="4" t="s">
        <v>9079</v>
      </c>
      <c r="B3636" s="5" t="s">
        <v>9079</v>
      </c>
      <c r="C3636" s="5" t="s">
        <v>40</v>
      </c>
      <c r="D3636" s="5" t="s">
        <v>41</v>
      </c>
      <c r="E3636" s="5" t="s">
        <v>882</v>
      </c>
      <c r="F3636" s="9">
        <v>60</v>
      </c>
      <c r="G3636" s="9">
        <v>652</v>
      </c>
      <c r="H3636" s="5" t="s">
        <v>21</v>
      </c>
      <c r="I3636" s="5" t="s">
        <v>9086</v>
      </c>
      <c r="J3636" s="12" t="str">
        <f>HYPERLINK("https://www.boe.es/gazeta/dias/1803/07/29/pdfs/GMD-1803-60.pdf#page=4","Abrir facsímil")</f>
        <v>Abrir facsímil</v>
      </c>
      <c r="K3636" s="15" t="s">
        <v>23</v>
      </c>
    </row>
    <row r="3637" spans="1:11" ht="42" customHeight="1">
      <c r="A3637" s="4" t="s">
        <v>9079</v>
      </c>
      <c r="B3637" s="5" t="s">
        <v>9079</v>
      </c>
      <c r="C3637" s="5" t="s">
        <v>46</v>
      </c>
      <c r="D3637" s="5" t="s">
        <v>19</v>
      </c>
      <c r="E3637" s="5" t="s">
        <v>64</v>
      </c>
      <c r="F3637" s="9">
        <v>65</v>
      </c>
      <c r="G3637" s="9">
        <v>705</v>
      </c>
      <c r="H3637" s="5" t="s">
        <v>21</v>
      </c>
      <c r="I3637" s="5" t="s">
        <v>9087</v>
      </c>
      <c r="J3637" s="12" t="str">
        <f>HYPERLINK("https://www.boe.es/gazeta/dias/1803/08/16/pdfs/GMD-1803-65.pdf#page=5","Abrir facsímil")</f>
        <v>Abrir facsímil</v>
      </c>
      <c r="K3637" s="15" t="s">
        <v>23</v>
      </c>
    </row>
    <row r="3638" spans="1:11" ht="42" customHeight="1">
      <c r="A3638" s="4" t="s">
        <v>9079</v>
      </c>
      <c r="B3638" s="5" t="s">
        <v>9079</v>
      </c>
      <c r="C3638" s="5" t="s">
        <v>40</v>
      </c>
      <c r="D3638" s="5" t="s">
        <v>41</v>
      </c>
      <c r="E3638" s="5" t="s">
        <v>61</v>
      </c>
      <c r="F3638" s="9">
        <v>67</v>
      </c>
      <c r="G3638" s="9">
        <v>723</v>
      </c>
      <c r="H3638" s="5" t="s">
        <v>21</v>
      </c>
      <c r="I3638" s="5" t="s">
        <v>9088</v>
      </c>
      <c r="J3638" s="12" t="str">
        <f>HYPERLINK("https://www.boe.es/gazeta/dias/1803/08/23/pdfs/GMD-1803-67.pdf#page=3","Abrir facsímil")</f>
        <v>Abrir facsímil</v>
      </c>
      <c r="K3638" s="15" t="s">
        <v>23</v>
      </c>
    </row>
    <row r="3639" spans="1:11" ht="42" customHeight="1">
      <c r="A3639" s="4" t="s">
        <v>9079</v>
      </c>
      <c r="B3639" s="5" t="s">
        <v>9079</v>
      </c>
      <c r="C3639" s="5" t="s">
        <v>40</v>
      </c>
      <c r="D3639" s="5" t="s">
        <v>41</v>
      </c>
      <c r="E3639" s="5" t="s">
        <v>138</v>
      </c>
      <c r="F3639" s="9">
        <v>68</v>
      </c>
      <c r="G3639" s="9">
        <v>736</v>
      </c>
      <c r="H3639" s="5" t="s">
        <v>21</v>
      </c>
      <c r="I3639" s="5" t="s">
        <v>9089</v>
      </c>
      <c r="J3639" s="12" t="str">
        <f>HYPERLINK("https://www.boe.es/gazeta/dias/1803/08/26/pdfs/GMD-1803-68.pdf#page=4","Abrir facsímil")</f>
        <v>Abrir facsímil</v>
      </c>
      <c r="K3639" s="15" t="s">
        <v>23</v>
      </c>
    </row>
    <row r="3640" spans="1:11" ht="42" customHeight="1">
      <c r="A3640" s="4" t="s">
        <v>9079</v>
      </c>
      <c r="B3640" s="5" t="s">
        <v>9079</v>
      </c>
      <c r="C3640" s="5" t="s">
        <v>40</v>
      </c>
      <c r="D3640" s="5" t="s">
        <v>41</v>
      </c>
      <c r="E3640" s="5" t="s">
        <v>138</v>
      </c>
      <c r="F3640" s="9">
        <v>68</v>
      </c>
      <c r="G3640" s="9">
        <v>737</v>
      </c>
      <c r="H3640" s="5" t="s">
        <v>21</v>
      </c>
      <c r="I3640" s="5" t="s">
        <v>9090</v>
      </c>
      <c r="J3640" s="12" t="str">
        <f>HYPERLINK("https://www.boe.es/gazeta/dias/1803/08/26/pdfs/GMD-1803-68.pdf#page=5","Abrir facsímil")</f>
        <v>Abrir facsímil</v>
      </c>
      <c r="K3640" s="15" t="s">
        <v>23</v>
      </c>
    </row>
    <row r="3641" spans="1:11" ht="42" customHeight="1">
      <c r="A3641" s="4" t="s">
        <v>9079</v>
      </c>
      <c r="B3641" s="5" t="s">
        <v>9079</v>
      </c>
      <c r="C3641" s="5" t="s">
        <v>51</v>
      </c>
      <c r="D3641" s="5" t="s">
        <v>52</v>
      </c>
      <c r="E3641" s="5" t="s">
        <v>164</v>
      </c>
      <c r="F3641" s="9">
        <v>84</v>
      </c>
      <c r="G3641" s="9">
        <v>903</v>
      </c>
      <c r="H3641" s="5" t="s">
        <v>21</v>
      </c>
      <c r="I3641" s="5" t="s">
        <v>9091</v>
      </c>
      <c r="J3641" s="12" t="str">
        <f>HYPERLINK("https://www.boe.es/gazeta/dias/1803/10/18/pdfs/GMD-1803-84.pdf#page=7","Abrir facsímil")</f>
        <v>Abrir facsímil</v>
      </c>
      <c r="K3641" s="15" t="s">
        <v>23</v>
      </c>
    </row>
    <row r="3642" spans="1:11" ht="42" customHeight="1">
      <c r="A3642" s="4" t="s">
        <v>9092</v>
      </c>
      <c r="B3642" s="5" t="s">
        <v>9093</v>
      </c>
      <c r="C3642" s="5" t="s">
        <v>26</v>
      </c>
      <c r="D3642" s="5" t="s">
        <v>27</v>
      </c>
      <c r="E3642" s="5" t="s">
        <v>657</v>
      </c>
      <c r="F3642" s="9">
        <v>24</v>
      </c>
      <c r="G3642" s="9">
        <v>256</v>
      </c>
      <c r="H3642" s="5" t="s">
        <v>21</v>
      </c>
      <c r="I3642" s="5" t="s">
        <v>9094</v>
      </c>
      <c r="J3642" s="12" t="str">
        <f>HYPERLINK("https://www.boe.es/gazeta/dias/1803/03/25/pdfs/GMD-1803-24.pdf#page=8","Abrir facsímil")</f>
        <v>Abrir facsímil</v>
      </c>
      <c r="K3642" s="15" t="s">
        <v>23</v>
      </c>
    </row>
    <row r="3643" spans="1:11" ht="42" customHeight="1">
      <c r="A3643" s="4" t="s">
        <v>9095</v>
      </c>
      <c r="B3643" s="5" t="s">
        <v>9095</v>
      </c>
      <c r="C3643" s="5" t="s">
        <v>26</v>
      </c>
      <c r="D3643" s="5" t="s">
        <v>27</v>
      </c>
      <c r="E3643" s="5" t="s">
        <v>403</v>
      </c>
      <c r="F3643" s="9">
        <v>91</v>
      </c>
      <c r="G3643" s="9">
        <v>977</v>
      </c>
      <c r="H3643" s="5" t="s">
        <v>21</v>
      </c>
      <c r="I3643" s="5" t="s">
        <v>9096</v>
      </c>
      <c r="J3643" s="12" t="str">
        <f>HYPERLINK("https://www.boe.es/gazeta/dias/1803/11/11/pdfs/GMD-1803-91.pdf#page=9","Abrir facsímil")</f>
        <v>Abrir facsímil</v>
      </c>
      <c r="K3643" s="15" t="s">
        <v>23</v>
      </c>
    </row>
    <row r="3644" spans="1:11" ht="42" customHeight="1">
      <c r="A3644" s="4" t="s">
        <v>9097</v>
      </c>
      <c r="B3644" s="5" t="s">
        <v>9097</v>
      </c>
      <c r="C3644" s="5" t="s">
        <v>26</v>
      </c>
      <c r="D3644" s="5" t="s">
        <v>27</v>
      </c>
      <c r="E3644" s="5" t="s">
        <v>619</v>
      </c>
      <c r="F3644" s="9">
        <v>53</v>
      </c>
      <c r="G3644" s="9">
        <v>579</v>
      </c>
      <c r="H3644" s="5" t="s">
        <v>21</v>
      </c>
      <c r="I3644" s="5" t="s">
        <v>9098</v>
      </c>
      <c r="J3644" s="12" t="str">
        <f>HYPERLINK("https://www.boe.es/gazeta/dias/1803/07/05/pdfs/GMD-1803-53.pdf#page=11","Abrir facsímil")</f>
        <v>Abrir facsímil</v>
      </c>
      <c r="K3644" s="15" t="s">
        <v>23</v>
      </c>
    </row>
    <row r="3645" spans="1:11" ht="42" customHeight="1">
      <c r="A3645" s="4" t="s">
        <v>9099</v>
      </c>
      <c r="B3645" s="5" t="s">
        <v>9099</v>
      </c>
      <c r="C3645" s="5" t="s">
        <v>26</v>
      </c>
      <c r="D3645" s="5" t="s">
        <v>27</v>
      </c>
      <c r="E3645" s="5" t="s">
        <v>207</v>
      </c>
      <c r="F3645" s="9">
        <v>27</v>
      </c>
      <c r="G3645" s="9">
        <v>293</v>
      </c>
      <c r="H3645" s="5" t="s">
        <v>21</v>
      </c>
      <c r="I3645" s="5" t="s">
        <v>9100</v>
      </c>
      <c r="J3645" s="12" t="str">
        <f>HYPERLINK("https://www.boe.es/gazeta/dias/1803/04/05/pdfs/GMD-1803-27.pdf#page=9","Abrir facsímil")</f>
        <v>Abrir facsímil</v>
      </c>
      <c r="K3645" s="15" t="s">
        <v>23</v>
      </c>
    </row>
    <row r="3646" spans="1:11" ht="42" customHeight="1">
      <c r="A3646" s="4" t="s">
        <v>9101</v>
      </c>
      <c r="B3646" s="5" t="s">
        <v>9102</v>
      </c>
      <c r="C3646" s="5" t="s">
        <v>40</v>
      </c>
      <c r="D3646" s="5" t="s">
        <v>41</v>
      </c>
      <c r="E3646" s="5" t="s">
        <v>47</v>
      </c>
      <c r="F3646" s="9">
        <v>33</v>
      </c>
      <c r="G3646" s="9">
        <v>349</v>
      </c>
      <c r="H3646" s="5" t="s">
        <v>21</v>
      </c>
      <c r="I3646" s="5" t="s">
        <v>9103</v>
      </c>
      <c r="J3646" s="12" t="str">
        <f>HYPERLINK("https://www.boe.es/gazeta/dias/1803/04/26/pdfs/GMD-1803-33.pdf#page=9","Abrir facsímil")</f>
        <v>Abrir facsímil</v>
      </c>
      <c r="K3646" s="15" t="s">
        <v>23</v>
      </c>
    </row>
    <row r="3647" spans="1:11" ht="42" customHeight="1">
      <c r="A3647" s="4" t="s">
        <v>9104</v>
      </c>
      <c r="B3647" s="5" t="s">
        <v>9105</v>
      </c>
      <c r="C3647" s="5" t="s">
        <v>26</v>
      </c>
      <c r="D3647" s="5" t="s">
        <v>27</v>
      </c>
      <c r="E3647" s="5" t="s">
        <v>289</v>
      </c>
      <c r="F3647" s="9">
        <v>38</v>
      </c>
      <c r="G3647" s="9">
        <v>401</v>
      </c>
      <c r="H3647" s="5" t="s">
        <v>21</v>
      </c>
      <c r="I3647" s="5" t="s">
        <v>9106</v>
      </c>
      <c r="J3647" s="12" t="str">
        <f>HYPERLINK("https://www.boe.es/gazeta/dias/1803/05/13/pdfs/GMD-1803-38.pdf#page=9","Abrir facsímil")</f>
        <v>Abrir facsímil</v>
      </c>
      <c r="K3647" s="15" t="s">
        <v>23</v>
      </c>
    </row>
    <row r="3648" spans="1:11" ht="42" customHeight="1">
      <c r="A3648" s="4" t="s">
        <v>9107</v>
      </c>
      <c r="B3648" s="5" t="s">
        <v>9108</v>
      </c>
      <c r="C3648" s="5" t="s">
        <v>40</v>
      </c>
      <c r="D3648" s="5" t="s">
        <v>41</v>
      </c>
      <c r="E3648" s="5" t="s">
        <v>93</v>
      </c>
      <c r="F3648" s="9">
        <v>43</v>
      </c>
      <c r="G3648" s="9">
        <v>449</v>
      </c>
      <c r="H3648" s="5" t="s">
        <v>21</v>
      </c>
      <c r="I3648" s="5" t="s">
        <v>9109</v>
      </c>
      <c r="J3648" s="12" t="str">
        <f>HYPERLINK("https://www.boe.es/gazeta/dias/1803/05/31/pdfs/GMD-1803-43.pdf#page=9","Abrir facsímil")</f>
        <v>Abrir facsímil</v>
      </c>
      <c r="K3648" s="15" t="s">
        <v>23</v>
      </c>
    </row>
    <row r="3649" spans="1:11" ht="42" customHeight="1">
      <c r="A3649" s="4" t="s">
        <v>9110</v>
      </c>
      <c r="B3649" s="5" t="s">
        <v>9110</v>
      </c>
      <c r="C3649" s="5" t="s">
        <v>26</v>
      </c>
      <c r="D3649" s="5" t="s">
        <v>27</v>
      </c>
      <c r="E3649" s="5" t="s">
        <v>509</v>
      </c>
      <c r="F3649" s="9">
        <v>6</v>
      </c>
      <c r="G3649" s="9">
        <v>53</v>
      </c>
      <c r="H3649" s="5" t="s">
        <v>21</v>
      </c>
      <c r="I3649" s="5" t="s">
        <v>9111</v>
      </c>
      <c r="J3649" s="12" t="str">
        <f>HYPERLINK("https://www.boe.es/gazeta/dias/1803/01/21/pdfs/GMD-1803-6.pdf#page=5","Abrir facsímil")</f>
        <v>Abrir facsímil</v>
      </c>
      <c r="K3649" s="15" t="s">
        <v>23</v>
      </c>
    </row>
    <row r="3650" spans="1:11" ht="42" customHeight="1">
      <c r="A3650" s="4" t="s">
        <v>9112</v>
      </c>
      <c r="B3650" s="5" t="s">
        <v>9113</v>
      </c>
      <c r="C3650" s="5" t="s">
        <v>26</v>
      </c>
      <c r="D3650" s="5" t="s">
        <v>27</v>
      </c>
      <c r="E3650" s="5" t="s">
        <v>207</v>
      </c>
      <c r="F3650" s="9">
        <v>27</v>
      </c>
      <c r="G3650" s="9">
        <v>293</v>
      </c>
      <c r="H3650" s="5" t="s">
        <v>21</v>
      </c>
      <c r="I3650" s="5" t="s">
        <v>9114</v>
      </c>
      <c r="J3650" s="12" t="str">
        <f>HYPERLINK("https://www.boe.es/gazeta/dias/1803/04/05/pdfs/GMD-1803-27.pdf#page=9","Abrir facsímil")</f>
        <v>Abrir facsímil</v>
      </c>
      <c r="K3650" s="15" t="s">
        <v>23</v>
      </c>
    </row>
    <row r="3651" spans="1:11" ht="42" customHeight="1">
      <c r="A3651" s="4" t="s">
        <v>9115</v>
      </c>
      <c r="B3651" s="5" t="s">
        <v>9115</v>
      </c>
      <c r="C3651" s="5" t="s">
        <v>40</v>
      </c>
      <c r="D3651" s="5" t="s">
        <v>41</v>
      </c>
      <c r="E3651" s="5" t="s">
        <v>207</v>
      </c>
      <c r="F3651" s="9">
        <v>27</v>
      </c>
      <c r="G3651" s="9">
        <v>289</v>
      </c>
      <c r="H3651" s="5" t="s">
        <v>21</v>
      </c>
      <c r="I3651" s="5" t="s">
        <v>9116</v>
      </c>
      <c r="J3651" s="12" t="str">
        <f>HYPERLINK("https://www.boe.es/gazeta/dias/1803/04/05/pdfs/GMD-1803-27.pdf#page=5","Abrir facsímil")</f>
        <v>Abrir facsímil</v>
      </c>
      <c r="K3651" s="15" t="s">
        <v>23</v>
      </c>
    </row>
    <row r="3652" spans="1:11" ht="42" customHeight="1">
      <c r="A3652" s="4" t="s">
        <v>9117</v>
      </c>
      <c r="B3652" s="5" t="s">
        <v>9117</v>
      </c>
      <c r="C3652" s="5" t="s">
        <v>40</v>
      </c>
      <c r="D3652" s="5" t="s">
        <v>41</v>
      </c>
      <c r="E3652" s="5" t="s">
        <v>109</v>
      </c>
      <c r="F3652" s="9">
        <v>102</v>
      </c>
      <c r="G3652" s="9">
        <v>1090</v>
      </c>
      <c r="H3652" s="5" t="s">
        <v>21</v>
      </c>
      <c r="I3652" s="5" t="s">
        <v>9118</v>
      </c>
      <c r="J3652" s="12" t="str">
        <f>HYPERLINK("https://www.boe.es/gazeta/dias/1803/12/20/pdfs/GMD-1803-102.pdf#page=2","Abrir facsímil")</f>
        <v>Abrir facsímil</v>
      </c>
      <c r="K3652" s="15" t="s">
        <v>23</v>
      </c>
    </row>
    <row r="3653" spans="1:11" ht="42" customHeight="1">
      <c r="A3653" s="4" t="s">
        <v>9119</v>
      </c>
      <c r="B3653" s="5" t="s">
        <v>9119</v>
      </c>
      <c r="C3653" s="5" t="s">
        <v>46</v>
      </c>
      <c r="D3653" s="5" t="s">
        <v>19</v>
      </c>
      <c r="E3653" s="5" t="s">
        <v>606</v>
      </c>
      <c r="F3653" s="9">
        <v>47</v>
      </c>
      <c r="G3653" s="9">
        <v>499</v>
      </c>
      <c r="H3653" s="5" t="s">
        <v>21</v>
      </c>
      <c r="I3653" s="5" t="s">
        <v>9120</v>
      </c>
      <c r="J3653" s="12" t="str">
        <f>HYPERLINK("https://www.boe.es/gazeta/dias/1803/06/14/pdfs/GMD-1803-47.pdf#page=11","Abrir facsímil")</f>
        <v>Abrir facsímil</v>
      </c>
      <c r="K3653" s="15" t="s">
        <v>23</v>
      </c>
    </row>
    <row r="3654" spans="1:11" ht="42" customHeight="1">
      <c r="A3654" s="4" t="s">
        <v>9121</v>
      </c>
      <c r="B3654" s="5" t="s">
        <v>9122</v>
      </c>
      <c r="C3654" s="5" t="s">
        <v>40</v>
      </c>
      <c r="D3654" s="5" t="s">
        <v>41</v>
      </c>
      <c r="E3654" s="5" t="s">
        <v>336</v>
      </c>
      <c r="F3654" s="9">
        <v>105</v>
      </c>
      <c r="G3654" s="9">
        <v>1119</v>
      </c>
      <c r="H3654" s="5" t="s">
        <v>21</v>
      </c>
      <c r="I3654" s="5" t="s">
        <v>9123</v>
      </c>
      <c r="J3654" s="12" t="str">
        <f>HYPERLINK("https://www.boe.es/gazeta/dias/1803/12/30/pdfs/GMD-1803-105.pdf#page=3","Abrir facsímil")</f>
        <v>Abrir facsímil</v>
      </c>
      <c r="K3654" s="15" t="s">
        <v>23</v>
      </c>
    </row>
    <row r="3655" spans="1:11" ht="42" customHeight="1">
      <c r="A3655" s="4" t="s">
        <v>9124</v>
      </c>
      <c r="B3655" s="5" t="s">
        <v>9125</v>
      </c>
      <c r="C3655" s="5" t="s">
        <v>26</v>
      </c>
      <c r="D3655" s="5" t="s">
        <v>27</v>
      </c>
      <c r="E3655" s="5" t="s">
        <v>36</v>
      </c>
      <c r="F3655" s="9">
        <v>79</v>
      </c>
      <c r="G3655" s="9">
        <v>854</v>
      </c>
      <c r="H3655" s="5" t="s">
        <v>21</v>
      </c>
      <c r="I3655" s="5" t="s">
        <v>9126</v>
      </c>
      <c r="J3655" s="12" t="str">
        <f>HYPERLINK("https://www.boe.es/gazeta/dias/1803/09/30/pdfs/GMD-1803-79.pdf#page=6","Abrir facsímil")</f>
        <v>Abrir facsímil</v>
      </c>
      <c r="K3655" s="15" t="s">
        <v>23</v>
      </c>
    </row>
    <row r="3656" spans="1:11" ht="42" customHeight="1">
      <c r="A3656" s="4" t="s">
        <v>9127</v>
      </c>
      <c r="B3656" s="5" t="s">
        <v>9127</v>
      </c>
      <c r="C3656" s="5" t="s">
        <v>26</v>
      </c>
      <c r="D3656" s="5" t="s">
        <v>27</v>
      </c>
      <c r="E3656" s="5" t="s">
        <v>207</v>
      </c>
      <c r="F3656" s="9">
        <v>27</v>
      </c>
      <c r="G3656" s="9">
        <v>294</v>
      </c>
      <c r="H3656" s="5" t="s">
        <v>21</v>
      </c>
      <c r="I3656" s="5" t="s">
        <v>9128</v>
      </c>
      <c r="J3656" s="12" t="str">
        <f>HYPERLINK("https://www.boe.es/gazeta/dias/1803/04/05/pdfs/GMD-1803-27.pdf#page=10","Abrir facsímil")</f>
        <v>Abrir facsímil</v>
      </c>
      <c r="K3656" s="15" t="s">
        <v>23</v>
      </c>
    </row>
    <row r="3657" spans="1:11" ht="42" customHeight="1">
      <c r="A3657" s="4" t="s">
        <v>9129</v>
      </c>
      <c r="B3657" s="5" t="s">
        <v>9129</v>
      </c>
      <c r="C3657" s="5" t="s">
        <v>26</v>
      </c>
      <c r="D3657" s="5" t="s">
        <v>27</v>
      </c>
      <c r="E3657" s="5" t="s">
        <v>207</v>
      </c>
      <c r="F3657" s="9">
        <v>27</v>
      </c>
      <c r="G3657" s="9">
        <v>294</v>
      </c>
      <c r="H3657" s="5" t="s">
        <v>21</v>
      </c>
      <c r="I3657" s="5" t="s">
        <v>9130</v>
      </c>
      <c r="J3657" s="12" t="str">
        <f>HYPERLINK("https://www.boe.es/gazeta/dias/1803/04/05/pdfs/GMD-1803-27.pdf#page=10","Abrir facsímil")</f>
        <v>Abrir facsímil</v>
      </c>
      <c r="K3657" s="15" t="s">
        <v>23</v>
      </c>
    </row>
    <row r="3658" spans="1:11" ht="42" customHeight="1">
      <c r="A3658" s="4" t="s">
        <v>9131</v>
      </c>
      <c r="B3658" s="5" t="s">
        <v>9132</v>
      </c>
      <c r="C3658" s="5" t="s">
        <v>26</v>
      </c>
      <c r="D3658" s="5" t="s">
        <v>27</v>
      </c>
      <c r="E3658" s="5" t="s">
        <v>332</v>
      </c>
      <c r="F3658" s="9">
        <v>11</v>
      </c>
      <c r="G3658" s="9">
        <v>110</v>
      </c>
      <c r="H3658" s="5" t="s">
        <v>21</v>
      </c>
      <c r="I3658" s="5" t="s">
        <v>9133</v>
      </c>
      <c r="J3658" s="12" t="str">
        <f>HYPERLINK("https://www.boe.es/gazeta/dias/1803/02/08/pdfs/GMD-1803-11.pdf#page=6","Abrir facsímil")</f>
        <v>Abrir facsímil</v>
      </c>
      <c r="K3658" s="15" t="s">
        <v>23</v>
      </c>
    </row>
    <row r="3659" spans="1:11" ht="42" customHeight="1">
      <c r="A3659" s="4" t="s">
        <v>9134</v>
      </c>
      <c r="B3659" s="5" t="s">
        <v>9135</v>
      </c>
      <c r="C3659" s="5" t="s">
        <v>80</v>
      </c>
      <c r="D3659" s="5" t="s">
        <v>81</v>
      </c>
      <c r="E3659" s="5" t="s">
        <v>289</v>
      </c>
      <c r="F3659" s="9">
        <v>38</v>
      </c>
      <c r="G3659" s="9">
        <v>404</v>
      </c>
      <c r="H3659" s="5" t="s">
        <v>21</v>
      </c>
      <c r="I3659" s="5" t="s">
        <v>9136</v>
      </c>
      <c r="J3659" s="12" t="str">
        <f>HYPERLINK("https://www.boe.es/gazeta/dias/1803/05/13/pdfs/GMD-1803-38.pdf#page=12","Abrir facsímil")</f>
        <v>Abrir facsímil</v>
      </c>
      <c r="K3659" s="15" t="s">
        <v>23</v>
      </c>
    </row>
    <row r="3660" spans="1:11" ht="42" customHeight="1">
      <c r="A3660" s="4" t="s">
        <v>9137</v>
      </c>
      <c r="B3660" s="5" t="s">
        <v>9138</v>
      </c>
      <c r="C3660" s="5" t="s">
        <v>51</v>
      </c>
      <c r="D3660" s="5" t="s">
        <v>52</v>
      </c>
      <c r="E3660" s="5" t="s">
        <v>148</v>
      </c>
      <c r="F3660" s="9">
        <v>15</v>
      </c>
      <c r="G3660" s="9">
        <v>157</v>
      </c>
      <c r="H3660" s="5" t="s">
        <v>21</v>
      </c>
      <c r="I3660" s="5" t="s">
        <v>9139</v>
      </c>
      <c r="J3660" s="12" t="str">
        <f>HYPERLINK("https://www.boe.es/gazeta/dias/1803/02/22/pdfs/GMD-1803-15.pdf#page=9","Abrir facsímil")</f>
        <v>Abrir facsímil</v>
      </c>
      <c r="K3660" s="15" t="s">
        <v>23</v>
      </c>
    </row>
    <row r="3661" spans="1:11" ht="42" customHeight="1">
      <c r="A3661" s="4" t="s">
        <v>9140</v>
      </c>
      <c r="B3661" s="5" t="s">
        <v>9141</v>
      </c>
      <c r="C3661" s="5" t="s">
        <v>26</v>
      </c>
      <c r="D3661" s="5" t="s">
        <v>27</v>
      </c>
      <c r="E3661" s="5" t="s">
        <v>61</v>
      </c>
      <c r="F3661" s="9">
        <v>67</v>
      </c>
      <c r="G3661" s="9">
        <v>729</v>
      </c>
      <c r="H3661" s="5" t="s">
        <v>21</v>
      </c>
      <c r="I3661" s="5" t="s">
        <v>9142</v>
      </c>
      <c r="J3661" s="12" t="str">
        <f>HYPERLINK("https://www.boe.es/gazeta/dias/1803/08/23/pdfs/GMD-1803-67.pdf#page=9","Abrir facsímil")</f>
        <v>Abrir facsímil</v>
      </c>
      <c r="K3661" s="15" t="s">
        <v>23</v>
      </c>
    </row>
    <row r="3662" spans="1:11" ht="42" customHeight="1">
      <c r="A3662" s="4" t="s">
        <v>9143</v>
      </c>
      <c r="B3662" s="5" t="s">
        <v>9144</v>
      </c>
      <c r="C3662" s="5" t="s">
        <v>40</v>
      </c>
      <c r="D3662" s="5" t="s">
        <v>41</v>
      </c>
      <c r="E3662" s="5" t="s">
        <v>132</v>
      </c>
      <c r="F3662" s="9">
        <v>58</v>
      </c>
      <c r="G3662" s="9">
        <v>639</v>
      </c>
      <c r="H3662" s="5" t="s">
        <v>21</v>
      </c>
      <c r="I3662" s="5" t="s">
        <v>9145</v>
      </c>
      <c r="J3662" s="12" t="str">
        <f>HYPERLINK("https://www.boe.es/gazeta/dias/1803/07/22/pdfs/GMD-1803-58.pdf#page=11","Abrir facsímil")</f>
        <v>Abrir facsímil</v>
      </c>
      <c r="K3662" s="15" t="s">
        <v>23</v>
      </c>
    </row>
    <row r="3663" spans="1:11" ht="42" customHeight="1">
      <c r="A3663" s="4" t="s">
        <v>9146</v>
      </c>
      <c r="B3663" s="5" t="s">
        <v>9147</v>
      </c>
      <c r="C3663" s="5" t="s">
        <v>18</v>
      </c>
      <c r="D3663" s="5" t="s">
        <v>19</v>
      </c>
      <c r="E3663" s="5" t="s">
        <v>138</v>
      </c>
      <c r="F3663" s="9">
        <v>68</v>
      </c>
      <c r="G3663" s="9">
        <v>741</v>
      </c>
      <c r="H3663" s="5" t="s">
        <v>21</v>
      </c>
      <c r="I3663" s="5" t="s">
        <v>9148</v>
      </c>
      <c r="J3663" s="12" t="str">
        <f>HYPERLINK("https://www.boe.es/gazeta/dias/1803/08/26/pdfs/GMD-1803-68.pdf#page=9","Abrir facsímil")</f>
        <v>Abrir facsímil</v>
      </c>
      <c r="K3663" s="15" t="s">
        <v>23</v>
      </c>
    </row>
    <row r="3664" spans="1:11" ht="42" customHeight="1">
      <c r="A3664" s="4" t="s">
        <v>9149</v>
      </c>
      <c r="B3664" s="5" t="s">
        <v>9150</v>
      </c>
      <c r="C3664" s="5" t="s">
        <v>26</v>
      </c>
      <c r="D3664" s="5" t="s">
        <v>27</v>
      </c>
      <c r="E3664" s="5" t="s">
        <v>71</v>
      </c>
      <c r="F3664" s="9">
        <v>39</v>
      </c>
      <c r="G3664" s="9">
        <v>414</v>
      </c>
      <c r="H3664" s="5" t="s">
        <v>21</v>
      </c>
      <c r="I3664" s="5" t="s">
        <v>9151</v>
      </c>
      <c r="J3664" s="12" t="str">
        <f>HYPERLINK("https://www.boe.es/gazeta/dias/1803/05/17/pdfs/GMD-1803-39.pdf#page=10","Abrir facsímil")</f>
        <v>Abrir facsímil</v>
      </c>
      <c r="K3664" s="15" t="s">
        <v>23</v>
      </c>
    </row>
    <row r="3665" spans="1:11" ht="42" customHeight="1">
      <c r="A3665" s="4" t="s">
        <v>9152</v>
      </c>
      <c r="B3665" s="5" t="s">
        <v>9153</v>
      </c>
      <c r="C3665" s="5" t="s">
        <v>26</v>
      </c>
      <c r="D3665" s="5" t="s">
        <v>27</v>
      </c>
      <c r="E3665" s="5" t="s">
        <v>132</v>
      </c>
      <c r="F3665" s="9">
        <v>58</v>
      </c>
      <c r="G3665" s="9">
        <v>639</v>
      </c>
      <c r="H3665" s="5" t="s">
        <v>21</v>
      </c>
      <c r="I3665" s="5" t="s">
        <v>9154</v>
      </c>
      <c r="J3665" s="12" t="str">
        <f>HYPERLINK("https://www.boe.es/gazeta/dias/1803/07/22/pdfs/GMD-1803-58.pdf#page=11","Abrir facsímil")</f>
        <v>Abrir facsímil</v>
      </c>
      <c r="K3665" s="15" t="s">
        <v>23</v>
      </c>
    </row>
    <row r="3666" spans="1:11" ht="42" customHeight="1">
      <c r="A3666" s="4" t="s">
        <v>9155</v>
      </c>
      <c r="B3666" s="5" t="s">
        <v>9155</v>
      </c>
      <c r="C3666" s="5" t="s">
        <v>40</v>
      </c>
      <c r="D3666" s="5" t="s">
        <v>41</v>
      </c>
      <c r="E3666" s="5" t="s">
        <v>85</v>
      </c>
      <c r="F3666" s="9">
        <v>49</v>
      </c>
      <c r="G3666" s="9">
        <v>515</v>
      </c>
      <c r="H3666" s="5" t="s">
        <v>21</v>
      </c>
      <c r="I3666" s="5" t="s">
        <v>9156</v>
      </c>
      <c r="J3666" s="12" t="str">
        <f>HYPERLINK("https://www.boe.es/gazeta/dias/1803/06/21/pdfs/GMD-1803-49.pdf#page=3","Abrir facsímil")</f>
        <v>Abrir facsímil</v>
      </c>
      <c r="K3666" s="15" t="s">
        <v>23</v>
      </c>
    </row>
    <row r="3667" spans="1:11" ht="42" customHeight="1">
      <c r="A3667" s="4" t="s">
        <v>9157</v>
      </c>
      <c r="B3667" s="5" t="s">
        <v>9158</v>
      </c>
      <c r="C3667" s="5" t="s">
        <v>18</v>
      </c>
      <c r="D3667" s="5" t="s">
        <v>19</v>
      </c>
      <c r="E3667" s="5" t="s">
        <v>340</v>
      </c>
      <c r="F3667" s="9">
        <v>55</v>
      </c>
      <c r="G3667" s="9">
        <v>602</v>
      </c>
      <c r="H3667" s="5" t="s">
        <v>21</v>
      </c>
      <c r="I3667" s="5" t="s">
        <v>9159</v>
      </c>
      <c r="J3667" s="12" t="str">
        <f>HYPERLINK("https://www.boe.es/gazeta/dias/1803/07/12/pdfs/GMD-1803-55.pdf#page=10","Abrir facsímil")</f>
        <v>Abrir facsímil</v>
      </c>
      <c r="K3667" s="15" t="s">
        <v>23</v>
      </c>
    </row>
    <row r="3668" spans="1:11" ht="42" customHeight="1">
      <c r="A3668" s="4" t="s">
        <v>9160</v>
      </c>
      <c r="B3668" s="5" t="s">
        <v>9161</v>
      </c>
      <c r="C3668" s="5" t="s">
        <v>26</v>
      </c>
      <c r="D3668" s="5" t="s">
        <v>27</v>
      </c>
      <c r="E3668" s="5" t="s">
        <v>1846</v>
      </c>
      <c r="F3668" s="9">
        <v>89</v>
      </c>
      <c r="G3668" s="9">
        <v>959</v>
      </c>
      <c r="H3668" s="5" t="s">
        <v>21</v>
      </c>
      <c r="I3668" s="5" t="s">
        <v>9162</v>
      </c>
      <c r="J3668" s="12" t="str">
        <f>HYPERLINK("https://www.boe.es/gazeta/dias/1803/11/04/pdfs/GMD-1803-89.pdf#page=7","Abrir facsímil")</f>
        <v>Abrir facsímil</v>
      </c>
      <c r="K3668" s="15" t="s">
        <v>23</v>
      </c>
    </row>
    <row r="3669" spans="1:11" ht="42" customHeight="1">
      <c r="A3669" s="4" t="s">
        <v>9163</v>
      </c>
      <c r="B3669" s="5" t="s">
        <v>9163</v>
      </c>
      <c r="C3669" s="5" t="s">
        <v>26</v>
      </c>
      <c r="D3669" s="5" t="s">
        <v>27</v>
      </c>
      <c r="E3669" s="5" t="s">
        <v>124</v>
      </c>
      <c r="F3669" s="9">
        <v>20</v>
      </c>
      <c r="G3669" s="9">
        <v>210</v>
      </c>
      <c r="H3669" s="5" t="s">
        <v>21</v>
      </c>
      <c r="I3669" s="5" t="s">
        <v>9164</v>
      </c>
      <c r="J3669" s="12" t="str">
        <f>HYPERLINK("https://www.boe.es/gazeta/dias/1803/03/11/pdfs/GMD-1803-20.pdf#page=6","Abrir facsímil")</f>
        <v>Abrir facsímil</v>
      </c>
      <c r="K3669" s="15" t="s">
        <v>23</v>
      </c>
    </row>
    <row r="3670" spans="1:11" ht="42" customHeight="1">
      <c r="A3670" s="4" t="s">
        <v>9165</v>
      </c>
      <c r="B3670" s="5" t="s">
        <v>9166</v>
      </c>
      <c r="C3670" s="5" t="s">
        <v>18</v>
      </c>
      <c r="D3670" s="5" t="s">
        <v>19</v>
      </c>
      <c r="E3670" s="5" t="s">
        <v>124</v>
      </c>
      <c r="F3670" s="9">
        <v>20</v>
      </c>
      <c r="G3670" s="9">
        <v>210</v>
      </c>
      <c r="H3670" s="5" t="s">
        <v>21</v>
      </c>
      <c r="I3670" s="5" t="s">
        <v>9167</v>
      </c>
      <c r="J3670" s="12" t="str">
        <f>HYPERLINK("https://www.boe.es/gazeta/dias/1803/03/11/pdfs/GMD-1803-20.pdf#page=6","Abrir facsímil")</f>
        <v>Abrir facsímil</v>
      </c>
      <c r="K3670" s="15" t="s">
        <v>23</v>
      </c>
    </row>
    <row r="3671" spans="1:11" ht="42" customHeight="1">
      <c r="A3671" s="4" t="s">
        <v>9168</v>
      </c>
      <c r="B3671" s="5" t="s">
        <v>9169</v>
      </c>
      <c r="C3671" s="5" t="s">
        <v>18</v>
      </c>
      <c r="D3671" s="5" t="s">
        <v>19</v>
      </c>
      <c r="E3671" s="5" t="s">
        <v>199</v>
      </c>
      <c r="F3671" s="9">
        <v>88</v>
      </c>
      <c r="G3671" s="9">
        <v>947</v>
      </c>
      <c r="H3671" s="5" t="s">
        <v>21</v>
      </c>
      <c r="I3671" s="5" t="s">
        <v>9170</v>
      </c>
      <c r="J3671" s="12" t="str">
        <f>HYPERLINK("https://www.boe.es/gazeta/dias/1803/11/01/pdfs/GMD-1803-88.pdf#page=7","Abrir facsímil")</f>
        <v>Abrir facsímil</v>
      </c>
      <c r="K3671" s="15" t="s">
        <v>23</v>
      </c>
    </row>
    <row r="3672" spans="1:11" ht="42" customHeight="1">
      <c r="A3672" s="4" t="s">
        <v>9171</v>
      </c>
      <c r="B3672" s="5" t="s">
        <v>9171</v>
      </c>
      <c r="C3672" s="5" t="s">
        <v>51</v>
      </c>
      <c r="D3672" s="5" t="s">
        <v>52</v>
      </c>
      <c r="E3672" s="5" t="s">
        <v>752</v>
      </c>
      <c r="F3672" s="9">
        <v>30</v>
      </c>
      <c r="G3672" s="9">
        <v>320</v>
      </c>
      <c r="H3672" s="5" t="s">
        <v>21</v>
      </c>
      <c r="I3672" s="5" t="s">
        <v>9172</v>
      </c>
      <c r="J3672" s="12" t="str">
        <f>HYPERLINK("https://www.boe.es/gazeta/dias/1803/04/15/pdfs/GMD-1803-30.pdf#page=8","Abrir facsímil")</f>
        <v>Abrir facsímil</v>
      </c>
      <c r="K3672" s="15" t="s">
        <v>23</v>
      </c>
    </row>
    <row r="3673" spans="1:11" ht="42" customHeight="1">
      <c r="A3673" s="4" t="s">
        <v>9173</v>
      </c>
      <c r="B3673" s="5" t="s">
        <v>9174</v>
      </c>
      <c r="C3673" s="5" t="s">
        <v>18</v>
      </c>
      <c r="D3673" s="5" t="s">
        <v>19</v>
      </c>
      <c r="E3673" s="5" t="s">
        <v>309</v>
      </c>
      <c r="F3673" s="9">
        <v>37</v>
      </c>
      <c r="G3673" s="9">
        <v>384</v>
      </c>
      <c r="H3673" s="5" t="s">
        <v>21</v>
      </c>
      <c r="I3673" s="5" t="s">
        <v>9175</v>
      </c>
      <c r="J3673" s="12" t="str">
        <f>HYPERLINK("https://www.boe.es/gazeta/dias/1803/05/10/pdfs/GMD-1803-37.pdf#page=8","Abrir facsímil")</f>
        <v>Abrir facsímil</v>
      </c>
      <c r="K3673" s="15" t="s">
        <v>23</v>
      </c>
    </row>
    <row r="3674" spans="1:11" ht="42" customHeight="1">
      <c r="A3674" s="4" t="s">
        <v>9176</v>
      </c>
      <c r="B3674" s="5" t="s">
        <v>9177</v>
      </c>
      <c r="C3674" s="5" t="s">
        <v>26</v>
      </c>
      <c r="D3674" s="5" t="s">
        <v>27</v>
      </c>
      <c r="E3674" s="5" t="s">
        <v>278</v>
      </c>
      <c r="F3674" s="9">
        <v>46</v>
      </c>
      <c r="G3674" s="9">
        <v>486</v>
      </c>
      <c r="H3674" s="5" t="s">
        <v>21</v>
      </c>
      <c r="I3674" s="5" t="s">
        <v>9178</v>
      </c>
      <c r="J3674" s="12" t="str">
        <f>HYPERLINK("https://www.boe.es/gazeta/dias/1803/06/10/pdfs/GMD-1803-46.pdf#page=10","Abrir facsímil")</f>
        <v>Abrir facsímil</v>
      </c>
      <c r="K3674" s="15" t="s">
        <v>23</v>
      </c>
    </row>
    <row r="3675" spans="1:11" ht="42" customHeight="1">
      <c r="A3675" s="4" t="s">
        <v>9179</v>
      </c>
      <c r="B3675" s="5" t="s">
        <v>9179</v>
      </c>
      <c r="C3675" s="5" t="s">
        <v>40</v>
      </c>
      <c r="D3675" s="5" t="s">
        <v>41</v>
      </c>
      <c r="E3675" s="5" t="s">
        <v>313</v>
      </c>
      <c r="F3675" s="9">
        <v>14</v>
      </c>
      <c r="G3675" s="9">
        <v>137</v>
      </c>
      <c r="H3675" s="5" t="s">
        <v>21</v>
      </c>
      <c r="I3675" s="5" t="s">
        <v>9180</v>
      </c>
      <c r="J3675" s="12" t="str">
        <f>HYPERLINK("https://www.boe.es/gazeta/dias/1803/02/18/pdfs/GMD-1803-14.pdf#page=1","Abrir facsímil")</f>
        <v>Abrir facsímil</v>
      </c>
      <c r="K3675" s="15" t="s">
        <v>23</v>
      </c>
    </row>
    <row r="3676" spans="1:11" ht="42" customHeight="1">
      <c r="A3676" s="4" t="s">
        <v>9181</v>
      </c>
      <c r="B3676" s="5" t="s">
        <v>9181</v>
      </c>
      <c r="C3676" s="5" t="s">
        <v>51</v>
      </c>
      <c r="D3676" s="5" t="s">
        <v>52</v>
      </c>
      <c r="E3676" s="5" t="s">
        <v>256</v>
      </c>
      <c r="F3676" s="9">
        <v>1</v>
      </c>
      <c r="G3676" s="9">
        <v>5</v>
      </c>
      <c r="H3676" s="5" t="s">
        <v>21</v>
      </c>
      <c r="I3676" s="5" t="s">
        <v>9182</v>
      </c>
      <c r="J3676" s="12" t="str">
        <f>HYPERLINK("https://www.boe.es/gazeta/dias/1803/01/04/pdfs/GMD-1803-1.pdf#page=5","Abrir facsímil")</f>
        <v>Abrir facsímil</v>
      </c>
      <c r="K3676" s="15" t="s">
        <v>23</v>
      </c>
    </row>
    <row r="3677" spans="1:11" ht="42" customHeight="1">
      <c r="A3677" s="4" t="s">
        <v>9181</v>
      </c>
      <c r="B3677" s="5" t="s">
        <v>9181</v>
      </c>
      <c r="C3677" s="5" t="s">
        <v>26</v>
      </c>
      <c r="D3677" s="5" t="s">
        <v>27</v>
      </c>
      <c r="E3677" s="5" t="s">
        <v>285</v>
      </c>
      <c r="F3677" s="9">
        <v>5</v>
      </c>
      <c r="G3677" s="9">
        <v>39</v>
      </c>
      <c r="H3677" s="5" t="s">
        <v>21</v>
      </c>
      <c r="I3677" s="5" t="s">
        <v>9183</v>
      </c>
      <c r="J3677" s="12" t="str">
        <f>HYPERLINK("https://www.boe.es/gazeta/dias/1803/01/18/pdfs/GMD-1803-5.pdf#page=3","Abrir facsímil")</f>
        <v>Abrir facsímil</v>
      </c>
      <c r="K3677" s="15" t="s">
        <v>23</v>
      </c>
    </row>
    <row r="3678" spans="1:11" ht="42" customHeight="1">
      <c r="A3678" s="4" t="s">
        <v>9184</v>
      </c>
      <c r="B3678" s="5" t="s">
        <v>9184</v>
      </c>
      <c r="C3678" s="5" t="s">
        <v>40</v>
      </c>
      <c r="D3678" s="5" t="s">
        <v>41</v>
      </c>
      <c r="E3678" s="5" t="s">
        <v>630</v>
      </c>
      <c r="F3678" s="9">
        <v>85</v>
      </c>
      <c r="G3678" s="9">
        <v>913</v>
      </c>
      <c r="H3678" s="5" t="s">
        <v>21</v>
      </c>
      <c r="I3678" s="5" t="s">
        <v>9185</v>
      </c>
      <c r="J3678" s="12" t="str">
        <f>HYPERLINK("https://www.boe.es/gazeta/dias/1803/10/21/pdfs/GMD-1803-85.pdf#page=5","Abrir facsímil")</f>
        <v>Abrir facsímil</v>
      </c>
      <c r="K3678" s="15" t="s">
        <v>23</v>
      </c>
    </row>
    <row r="3679" spans="1:11" ht="42" customHeight="1">
      <c r="A3679" s="4" t="s">
        <v>9186</v>
      </c>
      <c r="B3679" s="5" t="s">
        <v>9187</v>
      </c>
      <c r="C3679" s="5" t="s">
        <v>26</v>
      </c>
      <c r="D3679" s="5" t="s">
        <v>27</v>
      </c>
      <c r="E3679" s="5" t="s">
        <v>138</v>
      </c>
      <c r="F3679" s="9">
        <v>68</v>
      </c>
      <c r="G3679" s="9">
        <v>741</v>
      </c>
      <c r="H3679" s="5" t="s">
        <v>21</v>
      </c>
      <c r="I3679" s="5" t="s">
        <v>9188</v>
      </c>
      <c r="J3679" s="12" t="str">
        <f>HYPERLINK("https://www.boe.es/gazeta/dias/1803/08/26/pdfs/GMD-1803-68.pdf#page=9","Abrir facsímil")</f>
        <v>Abrir facsímil</v>
      </c>
      <c r="K3679" s="15" t="s">
        <v>23</v>
      </c>
    </row>
    <row r="3680" spans="1:11" ht="42" customHeight="1">
      <c r="A3680" s="4" t="s">
        <v>9189</v>
      </c>
      <c r="B3680" s="5" t="s">
        <v>9190</v>
      </c>
      <c r="C3680" s="5" t="s">
        <v>51</v>
      </c>
      <c r="D3680" s="5" t="s">
        <v>52</v>
      </c>
      <c r="E3680" s="5" t="s">
        <v>882</v>
      </c>
      <c r="F3680" s="9">
        <v>60</v>
      </c>
      <c r="G3680" s="9">
        <v>659</v>
      </c>
      <c r="H3680" s="5" t="s">
        <v>21</v>
      </c>
      <c r="I3680" s="5" t="s">
        <v>9191</v>
      </c>
      <c r="J3680" s="12" t="str">
        <f>HYPERLINK("https://www.boe.es/gazeta/dias/1803/07/29/pdfs/GMD-1803-60.pdf#page=11","Abrir facsímil")</f>
        <v>Abrir facsímil</v>
      </c>
      <c r="K3680" s="15" t="s">
        <v>23</v>
      </c>
    </row>
    <row r="3681" spans="1:11" ht="42" customHeight="1">
      <c r="A3681" s="4" t="s">
        <v>9192</v>
      </c>
      <c r="B3681" s="5" t="s">
        <v>9193</v>
      </c>
      <c r="C3681" s="5" t="s">
        <v>26</v>
      </c>
      <c r="D3681" s="5" t="s">
        <v>27</v>
      </c>
      <c r="E3681" s="5" t="s">
        <v>191</v>
      </c>
      <c r="F3681" s="9">
        <v>34</v>
      </c>
      <c r="G3681" s="9">
        <v>358</v>
      </c>
      <c r="H3681" s="5" t="s">
        <v>21</v>
      </c>
      <c r="I3681" s="5" t="s">
        <v>9194</v>
      </c>
      <c r="J3681" s="12" t="str">
        <f>HYPERLINK("https://www.boe.es/gazeta/dias/1803/04/29/pdfs/GMD-1803-34.pdf#page=6","Abrir facsímil")</f>
        <v>Abrir facsímil</v>
      </c>
      <c r="K3681" s="15" t="s">
        <v>23</v>
      </c>
    </row>
    <row r="3682" spans="1:11" ht="42" customHeight="1">
      <c r="A3682" s="4" t="s">
        <v>9195</v>
      </c>
      <c r="B3682" s="5" t="s">
        <v>9196</v>
      </c>
      <c r="C3682" s="5" t="s">
        <v>26</v>
      </c>
      <c r="D3682" s="5" t="s">
        <v>27</v>
      </c>
      <c r="E3682" s="5" t="s">
        <v>300</v>
      </c>
      <c r="F3682" s="9">
        <v>96</v>
      </c>
      <c r="G3682" s="9">
        <v>1034</v>
      </c>
      <c r="H3682" s="5" t="s">
        <v>21</v>
      </c>
      <c r="I3682" s="5" t="s">
        <v>9197</v>
      </c>
      <c r="J3682" s="12" t="str">
        <f>HYPERLINK("https://www.boe.es/gazeta/dias/1803/11/29/pdfs/GMD-1803-96.pdf#page=10","Abrir facsímil")</f>
        <v>Abrir facsímil</v>
      </c>
      <c r="K3682" s="15" t="s">
        <v>23</v>
      </c>
    </row>
    <row r="3683" spans="1:11" ht="42" customHeight="1">
      <c r="A3683" s="4" t="s">
        <v>9198</v>
      </c>
      <c r="B3683" s="5" t="s">
        <v>9198</v>
      </c>
      <c r="C3683" s="5" t="s">
        <v>26</v>
      </c>
      <c r="D3683" s="5" t="s">
        <v>27</v>
      </c>
      <c r="E3683" s="5" t="s">
        <v>285</v>
      </c>
      <c r="F3683" s="9">
        <v>5</v>
      </c>
      <c r="G3683" s="9">
        <v>40</v>
      </c>
      <c r="H3683" s="5" t="s">
        <v>21</v>
      </c>
      <c r="I3683" s="5" t="s">
        <v>9199</v>
      </c>
      <c r="J3683" s="12" t="str">
        <f>HYPERLINK("https://www.boe.es/gazeta/dias/1803/01/18/pdfs/GMD-1803-5.pdf#page=4","Abrir facsímil")</f>
        <v>Abrir facsímil</v>
      </c>
      <c r="K3683" s="15" t="s">
        <v>23</v>
      </c>
    </row>
    <row r="3684" spans="1:11" ht="42" customHeight="1">
      <c r="A3684" s="4" t="s">
        <v>9200</v>
      </c>
      <c r="B3684" s="5" t="s">
        <v>9200</v>
      </c>
      <c r="C3684" s="5" t="s">
        <v>40</v>
      </c>
      <c r="D3684" s="5" t="s">
        <v>41</v>
      </c>
      <c r="E3684" s="5" t="s">
        <v>68</v>
      </c>
      <c r="F3684" s="9">
        <v>23</v>
      </c>
      <c r="G3684" s="9">
        <v>243</v>
      </c>
      <c r="H3684" s="5" t="s">
        <v>21</v>
      </c>
      <c r="I3684" s="5" t="s">
        <v>9201</v>
      </c>
      <c r="J3684" s="12" t="str">
        <f>HYPERLINK("https://www.boe.es/gazeta/dias/1803/03/22/pdfs/GMD-1803-23.pdf#page=3","Abrir facsímil")</f>
        <v>Abrir facsímil</v>
      </c>
      <c r="K3684" s="15" t="s">
        <v>23</v>
      </c>
    </row>
    <row r="3685" spans="1:11" ht="42" customHeight="1">
      <c r="A3685" s="4" t="s">
        <v>9202</v>
      </c>
      <c r="B3685" s="5" t="s">
        <v>9203</v>
      </c>
      <c r="C3685" s="5" t="s">
        <v>51</v>
      </c>
      <c r="D3685" s="5" t="s">
        <v>52</v>
      </c>
      <c r="E3685" s="5" t="s">
        <v>477</v>
      </c>
      <c r="F3685" s="9">
        <v>48</v>
      </c>
      <c r="G3685" s="9">
        <v>511</v>
      </c>
      <c r="H3685" s="5" t="s">
        <v>21</v>
      </c>
      <c r="I3685" s="5" t="s">
        <v>9204</v>
      </c>
      <c r="J3685" s="12" t="str">
        <f>HYPERLINK("https://www.boe.es/gazeta/dias/1803/06/17/pdfs/GMD-1803-48.pdf#page=11","Abrir facsímil")</f>
        <v>Abrir facsímil</v>
      </c>
      <c r="K3685" s="15" t="s">
        <v>23</v>
      </c>
    </row>
    <row r="3686" spans="1:11" ht="42" customHeight="1">
      <c r="A3686" s="4" t="s">
        <v>9202</v>
      </c>
      <c r="B3686" s="5" t="s">
        <v>9203</v>
      </c>
      <c r="C3686" s="5" t="s">
        <v>80</v>
      </c>
      <c r="D3686" s="5" t="s">
        <v>81</v>
      </c>
      <c r="E3686" s="5" t="s">
        <v>519</v>
      </c>
      <c r="F3686" s="9">
        <v>50</v>
      </c>
      <c r="G3686" s="9">
        <v>544</v>
      </c>
      <c r="H3686" s="5" t="s">
        <v>21</v>
      </c>
      <c r="I3686" s="5" t="s">
        <v>9205</v>
      </c>
      <c r="J3686" s="12" t="str">
        <f>HYPERLINK("https://www.boe.es/gazeta/dias/1803/06/24/pdfs/GMD-1803-50.pdf#page=12","Abrir facsímil")</f>
        <v>Abrir facsímil</v>
      </c>
      <c r="K3686" s="15" t="s">
        <v>23</v>
      </c>
    </row>
    <row r="3687" spans="1:11" ht="42" customHeight="1">
      <c r="A3687" s="4" t="s">
        <v>9202</v>
      </c>
      <c r="B3687" s="5" t="s">
        <v>9203</v>
      </c>
      <c r="C3687" s="5" t="s">
        <v>51</v>
      </c>
      <c r="D3687" s="5" t="s">
        <v>52</v>
      </c>
      <c r="E3687" s="5" t="s">
        <v>61</v>
      </c>
      <c r="F3687" s="9">
        <v>67</v>
      </c>
      <c r="G3687" s="9">
        <v>731</v>
      </c>
      <c r="H3687" s="5" t="s">
        <v>21</v>
      </c>
      <c r="I3687" s="5" t="s">
        <v>9206</v>
      </c>
      <c r="J3687" s="12" t="str">
        <f>HYPERLINK("https://www.boe.es/gazeta/dias/1803/08/23/pdfs/GMD-1803-67.pdf#page=11","Abrir facsímil")</f>
        <v>Abrir facsímil</v>
      </c>
      <c r="K3687" s="15" t="s">
        <v>23</v>
      </c>
    </row>
    <row r="3688" spans="1:11" ht="42" customHeight="1">
      <c r="A3688" s="4" t="s">
        <v>9202</v>
      </c>
      <c r="B3688" s="5" t="s">
        <v>9203</v>
      </c>
      <c r="C3688" s="5" t="s">
        <v>18</v>
      </c>
      <c r="D3688" s="5" t="s">
        <v>19</v>
      </c>
      <c r="E3688" s="5" t="s">
        <v>399</v>
      </c>
      <c r="F3688" s="9">
        <v>95</v>
      </c>
      <c r="G3688" s="9">
        <v>1018</v>
      </c>
      <c r="H3688" s="5" t="s">
        <v>21</v>
      </c>
      <c r="I3688" s="5" t="s">
        <v>9207</v>
      </c>
      <c r="J3688" s="12" t="str">
        <f>HYPERLINK("https://www.boe.es/gazeta/dias/1803/11/25/pdfs/GMD-1803-95.pdf#page=6","Abrir facsímil")</f>
        <v>Abrir facsímil</v>
      </c>
      <c r="K3688" s="15" t="s">
        <v>23</v>
      </c>
    </row>
    <row r="3689" spans="1:11" ht="42" customHeight="1">
      <c r="A3689" s="4" t="s">
        <v>9208</v>
      </c>
      <c r="B3689" s="5" t="s">
        <v>9208</v>
      </c>
      <c r="C3689" s="5" t="s">
        <v>51</v>
      </c>
      <c r="D3689" s="5" t="s">
        <v>52</v>
      </c>
      <c r="E3689" s="5" t="s">
        <v>189</v>
      </c>
      <c r="F3689" s="9">
        <v>9</v>
      </c>
      <c r="G3689" s="9">
        <v>93</v>
      </c>
      <c r="H3689" s="5" t="s">
        <v>21</v>
      </c>
      <c r="I3689" s="5" t="s">
        <v>9209</v>
      </c>
      <c r="J3689" s="12" t="str">
        <f>HYPERLINK("https://www.boe.es/gazeta/dias/1803/02/01/pdfs/GMD-1803-9.pdf#page=9","Abrir facsímil")</f>
        <v>Abrir facsímil</v>
      </c>
      <c r="K3689" s="15" t="s">
        <v>23</v>
      </c>
    </row>
    <row r="3690" spans="1:11" ht="42" customHeight="1">
      <c r="A3690" s="4" t="s">
        <v>9210</v>
      </c>
      <c r="B3690" s="5" t="s">
        <v>9211</v>
      </c>
      <c r="C3690" s="5" t="s">
        <v>26</v>
      </c>
      <c r="D3690" s="5" t="s">
        <v>27</v>
      </c>
      <c r="E3690" s="5" t="s">
        <v>752</v>
      </c>
      <c r="F3690" s="9">
        <v>30</v>
      </c>
      <c r="G3690" s="9">
        <v>320</v>
      </c>
      <c r="H3690" s="5" t="s">
        <v>21</v>
      </c>
      <c r="I3690" s="5" t="s">
        <v>9212</v>
      </c>
      <c r="J3690" s="12" t="str">
        <f>HYPERLINK("https://www.boe.es/gazeta/dias/1803/04/15/pdfs/GMD-1803-30.pdf#page=8","Abrir facsímil")</f>
        <v>Abrir facsímil</v>
      </c>
      <c r="K3690" s="15" t="s">
        <v>23</v>
      </c>
    </row>
    <row r="3691" spans="1:11" ht="42" customHeight="1">
      <c r="A3691" s="4" t="s">
        <v>9213</v>
      </c>
      <c r="B3691" s="5" t="s">
        <v>9214</v>
      </c>
      <c r="C3691" s="5" t="s">
        <v>18</v>
      </c>
      <c r="D3691" s="5" t="s">
        <v>19</v>
      </c>
      <c r="E3691" s="5" t="s">
        <v>160</v>
      </c>
      <c r="F3691" s="9">
        <v>81</v>
      </c>
      <c r="G3691" s="9">
        <v>871</v>
      </c>
      <c r="H3691" s="5" t="s">
        <v>21</v>
      </c>
      <c r="I3691" s="5" t="s">
        <v>9215</v>
      </c>
      <c r="J3691" s="12" t="str">
        <f>HYPERLINK("https://www.boe.es/gazeta/dias/1803/10/07/pdfs/GMD-1803-81.pdf#page=7","Abrir facsímil")</f>
        <v>Abrir facsímil</v>
      </c>
      <c r="K3691" s="15" t="s">
        <v>23</v>
      </c>
    </row>
    <row r="3692" spans="1:11" ht="42" customHeight="1">
      <c r="A3692" s="4" t="s">
        <v>9216</v>
      </c>
      <c r="B3692" s="5" t="s">
        <v>9217</v>
      </c>
      <c r="C3692" s="5" t="s">
        <v>51</v>
      </c>
      <c r="D3692" s="5" t="s">
        <v>52</v>
      </c>
      <c r="E3692" s="5" t="s">
        <v>71</v>
      </c>
      <c r="F3692" s="9">
        <v>39</v>
      </c>
      <c r="G3692" s="9">
        <v>414</v>
      </c>
      <c r="H3692" s="5" t="s">
        <v>21</v>
      </c>
      <c r="I3692" s="5" t="s">
        <v>9218</v>
      </c>
      <c r="J3692" s="12" t="str">
        <f>HYPERLINK("https://www.boe.es/gazeta/dias/1803/05/17/pdfs/GMD-1803-39.pdf#page=10","Abrir facsímil")</f>
        <v>Abrir facsímil</v>
      </c>
      <c r="K3692" s="15" t="s">
        <v>23</v>
      </c>
    </row>
    <row r="3693" spans="1:11" ht="42" customHeight="1">
      <c r="A3693" s="4" t="s">
        <v>9219</v>
      </c>
      <c r="B3693" s="5" t="s">
        <v>9220</v>
      </c>
      <c r="C3693" s="5" t="s">
        <v>18</v>
      </c>
      <c r="D3693" s="5" t="s">
        <v>19</v>
      </c>
      <c r="E3693" s="5" t="s">
        <v>207</v>
      </c>
      <c r="F3693" s="9">
        <v>27</v>
      </c>
      <c r="G3693" s="9">
        <v>292</v>
      </c>
      <c r="H3693" s="5" t="s">
        <v>21</v>
      </c>
      <c r="I3693" s="5" t="s">
        <v>9221</v>
      </c>
      <c r="J3693" s="12" t="str">
        <f>HYPERLINK("https://www.boe.es/gazeta/dias/1803/04/05/pdfs/GMD-1803-27.pdf#page=8","Abrir facsímil")</f>
        <v>Abrir facsímil</v>
      </c>
      <c r="K3693" s="15" t="s">
        <v>23</v>
      </c>
    </row>
    <row r="3694" spans="1:11" ht="42" customHeight="1">
      <c r="A3694" s="4" t="s">
        <v>9222</v>
      </c>
      <c r="B3694" s="5" t="s">
        <v>9222</v>
      </c>
      <c r="C3694" s="5" t="s">
        <v>51</v>
      </c>
      <c r="D3694" s="5" t="s">
        <v>52</v>
      </c>
      <c r="E3694" s="5" t="s">
        <v>726</v>
      </c>
      <c r="F3694" s="9">
        <v>78</v>
      </c>
      <c r="G3694" s="9">
        <v>847</v>
      </c>
      <c r="H3694" s="5" t="s">
        <v>21</v>
      </c>
      <c r="I3694" s="5" t="s">
        <v>9223</v>
      </c>
      <c r="J3694" s="12" t="str">
        <f>HYPERLINK("https://www.boe.es/gazeta/dias/1803/09/27/pdfs/GMD-1803-78.pdf#page=11","Abrir facsímil")</f>
        <v>Abrir facsímil</v>
      </c>
      <c r="K3694" s="15" t="s">
        <v>23</v>
      </c>
    </row>
    <row r="3695" spans="1:11" ht="42" customHeight="1">
      <c r="A3695" s="4" t="s">
        <v>9224</v>
      </c>
      <c r="B3695" s="5" t="s">
        <v>9225</v>
      </c>
      <c r="C3695" s="5" t="s">
        <v>46</v>
      </c>
      <c r="D3695" s="5" t="s">
        <v>19</v>
      </c>
      <c r="E3695" s="5" t="s">
        <v>555</v>
      </c>
      <c r="F3695" s="9">
        <v>83</v>
      </c>
      <c r="G3695" s="9">
        <v>894</v>
      </c>
      <c r="H3695" s="5" t="s">
        <v>21</v>
      </c>
      <c r="I3695" s="5" t="s">
        <v>9226</v>
      </c>
      <c r="J3695" s="12" t="str">
        <f>HYPERLINK("https://www.boe.es/gazeta/dias/1803/10/14/pdfs/GMD-1803-83.pdf#page=6","Abrir facsímil")</f>
        <v>Abrir facsímil</v>
      </c>
      <c r="K3695" s="15" t="s">
        <v>23</v>
      </c>
    </row>
    <row r="3696" spans="1:11" ht="42" customHeight="1">
      <c r="A3696" s="4" t="s">
        <v>9227</v>
      </c>
      <c r="B3696" s="5" t="s">
        <v>9228</v>
      </c>
      <c r="C3696" s="5" t="s">
        <v>26</v>
      </c>
      <c r="D3696" s="5" t="s">
        <v>27</v>
      </c>
      <c r="E3696" s="5" t="s">
        <v>501</v>
      </c>
      <c r="F3696" s="9">
        <v>22</v>
      </c>
      <c r="G3696" s="9">
        <v>238</v>
      </c>
      <c r="H3696" s="5" t="s">
        <v>21</v>
      </c>
      <c r="I3696" s="5" t="s">
        <v>9229</v>
      </c>
      <c r="J3696" s="12" t="str">
        <f>HYPERLINK("https://www.boe.es/gazeta/dias/1803/03/18/pdfs/GMD-1803-22.pdf#page=10","Abrir facsímil")</f>
        <v>Abrir facsímil</v>
      </c>
      <c r="K3696" s="15" t="s">
        <v>23</v>
      </c>
    </row>
    <row r="3697" spans="1:11" ht="42" customHeight="1">
      <c r="A3697" s="4" t="s">
        <v>9230</v>
      </c>
      <c r="B3697" s="5" t="s">
        <v>9231</v>
      </c>
      <c r="C3697" s="5" t="s">
        <v>51</v>
      </c>
      <c r="D3697" s="5" t="s">
        <v>52</v>
      </c>
      <c r="E3697" s="5" t="s">
        <v>317</v>
      </c>
      <c r="F3697" s="9">
        <v>12</v>
      </c>
      <c r="G3697" s="9">
        <v>116</v>
      </c>
      <c r="H3697" s="5" t="s">
        <v>21</v>
      </c>
      <c r="I3697" s="5" t="s">
        <v>9232</v>
      </c>
      <c r="J3697" s="12" t="str">
        <f>HYPERLINK("https://www.boe.es/gazeta/dias/1803/02/11/pdfs/GMD-1803-12.pdf#page=4","Abrir facsímil")</f>
        <v>Abrir facsímil</v>
      </c>
      <c r="K3697" s="15" t="s">
        <v>23</v>
      </c>
    </row>
    <row r="3698" spans="1:11" ht="42" customHeight="1">
      <c r="A3698" s="4" t="s">
        <v>9233</v>
      </c>
      <c r="B3698" s="5" t="s">
        <v>9234</v>
      </c>
      <c r="C3698" s="5" t="s">
        <v>18</v>
      </c>
      <c r="D3698" s="5" t="s">
        <v>19</v>
      </c>
      <c r="E3698" s="5" t="s">
        <v>109</v>
      </c>
      <c r="F3698" s="9">
        <v>102</v>
      </c>
      <c r="G3698" s="9">
        <v>1097</v>
      </c>
      <c r="H3698" s="5" t="s">
        <v>21</v>
      </c>
      <c r="I3698" s="5" t="s">
        <v>9235</v>
      </c>
      <c r="J3698" s="12" t="str">
        <f>HYPERLINK("https://www.boe.es/gazeta/dias/1803/12/20/pdfs/GMD-1803-102.pdf#page=9","Abrir facsímil")</f>
        <v>Abrir facsímil</v>
      </c>
      <c r="K3698" s="15" t="s">
        <v>23</v>
      </c>
    </row>
    <row r="3699" spans="1:11" ht="42" customHeight="1">
      <c r="A3699" s="4" t="s">
        <v>9236</v>
      </c>
      <c r="B3699" s="5" t="s">
        <v>9237</v>
      </c>
      <c r="C3699" s="5" t="s">
        <v>18</v>
      </c>
      <c r="D3699" s="5" t="s">
        <v>19</v>
      </c>
      <c r="E3699" s="5" t="s">
        <v>523</v>
      </c>
      <c r="F3699" s="9">
        <v>101</v>
      </c>
      <c r="G3699" s="9">
        <v>1086</v>
      </c>
      <c r="H3699" s="5" t="s">
        <v>21</v>
      </c>
      <c r="I3699" s="5" t="s">
        <v>9238</v>
      </c>
      <c r="J3699" s="12" t="str">
        <f>HYPERLINK("https://www.boe.es/gazeta/dias/1803/12/16/pdfs/GMD-1803-101.pdf#page=10","Abrir facsímil")</f>
        <v>Abrir facsímil</v>
      </c>
      <c r="K3699" s="15" t="s">
        <v>23</v>
      </c>
    </row>
    <row r="3700" spans="1:11" ht="42" customHeight="1">
      <c r="A3700" s="4" t="s">
        <v>9239</v>
      </c>
      <c r="B3700" s="5" t="s">
        <v>9240</v>
      </c>
      <c r="C3700" s="5" t="s">
        <v>80</v>
      </c>
      <c r="D3700" s="5" t="s">
        <v>81</v>
      </c>
      <c r="E3700" s="5" t="s">
        <v>501</v>
      </c>
      <c r="F3700" s="9">
        <v>22</v>
      </c>
      <c r="G3700" s="9">
        <v>240</v>
      </c>
      <c r="H3700" s="5" t="s">
        <v>21</v>
      </c>
      <c r="I3700" s="5" t="s">
        <v>9241</v>
      </c>
      <c r="J3700" s="12" t="str">
        <f>HYPERLINK("https://www.boe.es/gazeta/dias/1803/03/18/pdfs/GMD-1803-22.pdf#page=12","Abrir facsímil")</f>
        <v>Abrir facsímil</v>
      </c>
      <c r="K3700" s="15" t="s">
        <v>23</v>
      </c>
    </row>
    <row r="3701" spans="1:11" ht="42" customHeight="1">
      <c r="A3701" s="4" t="s">
        <v>9242</v>
      </c>
      <c r="B3701" s="5" t="s">
        <v>9242</v>
      </c>
      <c r="C3701" s="5" t="s">
        <v>80</v>
      </c>
      <c r="D3701" s="5" t="s">
        <v>81</v>
      </c>
      <c r="E3701" s="5" t="s">
        <v>407</v>
      </c>
      <c r="F3701" s="9">
        <v>82</v>
      </c>
      <c r="G3701" s="9">
        <v>887</v>
      </c>
      <c r="H3701" s="5" t="s">
        <v>21</v>
      </c>
      <c r="I3701" s="5" t="s">
        <v>9243</v>
      </c>
      <c r="J3701" s="12" t="str">
        <f>HYPERLINK("https://www.boe.es/gazeta/dias/1803/10/11/pdfs/GMD-1803-82.pdf#page=11","Abrir facsímil")</f>
        <v>Abrir facsímil</v>
      </c>
      <c r="K3701" s="15" t="s">
        <v>23</v>
      </c>
    </row>
    <row r="3702" spans="1:11" ht="42" customHeight="1">
      <c r="A3702" s="4" t="s">
        <v>9244</v>
      </c>
      <c r="B3702" s="5" t="s">
        <v>9245</v>
      </c>
      <c r="C3702" s="5" t="s">
        <v>18</v>
      </c>
      <c r="D3702" s="5" t="s">
        <v>19</v>
      </c>
      <c r="E3702" s="5" t="s">
        <v>910</v>
      </c>
      <c r="F3702" s="9">
        <v>66</v>
      </c>
      <c r="G3702" s="9">
        <v>719</v>
      </c>
      <c r="H3702" s="5" t="s">
        <v>21</v>
      </c>
      <c r="I3702" s="5" t="s">
        <v>9246</v>
      </c>
      <c r="J3702" s="12" t="str">
        <f>HYPERLINK("https://www.boe.es/gazeta/dias/1803/08/19/pdfs/GMD-1803-66.pdf#page=7","Abrir facsímil")</f>
        <v>Abrir facsímil</v>
      </c>
      <c r="K3702" s="15" t="s">
        <v>23</v>
      </c>
    </row>
    <row r="3703" spans="1:11" ht="42" customHeight="1">
      <c r="A3703" s="4" t="s">
        <v>9244</v>
      </c>
      <c r="B3703" s="5" t="s">
        <v>9245</v>
      </c>
      <c r="C3703" s="5" t="s">
        <v>26</v>
      </c>
      <c r="D3703" s="5" t="s">
        <v>27</v>
      </c>
      <c r="E3703" s="5" t="s">
        <v>373</v>
      </c>
      <c r="F3703" s="9">
        <v>77</v>
      </c>
      <c r="G3703" s="9">
        <v>833</v>
      </c>
      <c r="H3703" s="5" t="s">
        <v>21</v>
      </c>
      <c r="I3703" s="5" t="s">
        <v>9247</v>
      </c>
      <c r="J3703" s="12" t="str">
        <f>HYPERLINK("https://www.boe.es/gazeta/dias/1803/09/23/pdfs/GMD-1803-77.pdf#page=9","Abrir facsímil")</f>
        <v>Abrir facsímil</v>
      </c>
      <c r="K3703" s="15" t="s">
        <v>23</v>
      </c>
    </row>
    <row r="3704" spans="1:11" ht="42" customHeight="1">
      <c r="A3704" s="4" t="s">
        <v>9248</v>
      </c>
      <c r="B3704" s="5" t="s">
        <v>9249</v>
      </c>
      <c r="C3704" s="5" t="s">
        <v>51</v>
      </c>
      <c r="D3704" s="5" t="s">
        <v>52</v>
      </c>
      <c r="E3704" s="5" t="s">
        <v>417</v>
      </c>
      <c r="F3704" s="9">
        <v>72</v>
      </c>
      <c r="G3704" s="9">
        <v>786</v>
      </c>
      <c r="H3704" s="5" t="s">
        <v>21</v>
      </c>
      <c r="I3704" s="5" t="s">
        <v>9250</v>
      </c>
      <c r="J3704" s="12" t="str">
        <f>HYPERLINK("https://www.boe.es/gazeta/dias/1803/09/09/pdfs/GMD-1803-72.pdf#page=6","Abrir facsímil")</f>
        <v>Abrir facsímil</v>
      </c>
      <c r="K3704" s="15" t="s">
        <v>23</v>
      </c>
    </row>
    <row r="3705" spans="1:11" ht="42" customHeight="1">
      <c r="A3705" s="4" t="s">
        <v>9251</v>
      </c>
      <c r="B3705" s="5" t="s">
        <v>9252</v>
      </c>
      <c r="C3705" s="5" t="s">
        <v>26</v>
      </c>
      <c r="D3705" s="5" t="s">
        <v>27</v>
      </c>
      <c r="E3705" s="5" t="s">
        <v>148</v>
      </c>
      <c r="F3705" s="9">
        <v>15</v>
      </c>
      <c r="G3705" s="9">
        <v>158</v>
      </c>
      <c r="H3705" s="5" t="s">
        <v>21</v>
      </c>
      <c r="I3705" s="5" t="s">
        <v>9253</v>
      </c>
      <c r="J3705" s="12" t="str">
        <f>HYPERLINK("https://www.boe.es/gazeta/dias/1803/02/22/pdfs/GMD-1803-15.pdf#page=10","Abrir facsímil")</f>
        <v>Abrir facsímil</v>
      </c>
      <c r="K3705" s="15" t="s">
        <v>23</v>
      </c>
    </row>
    <row r="3706" spans="1:11" ht="42" customHeight="1">
      <c r="A3706" s="4" t="s">
        <v>9251</v>
      </c>
      <c r="B3706" s="5" t="s">
        <v>9252</v>
      </c>
      <c r="C3706" s="5" t="s">
        <v>26</v>
      </c>
      <c r="D3706" s="5" t="s">
        <v>27</v>
      </c>
      <c r="E3706" s="5" t="s">
        <v>1846</v>
      </c>
      <c r="F3706" s="9">
        <v>89</v>
      </c>
      <c r="G3706" s="9">
        <v>959</v>
      </c>
      <c r="H3706" s="5" t="s">
        <v>21</v>
      </c>
      <c r="I3706" s="5" t="s">
        <v>9254</v>
      </c>
      <c r="J3706" s="12" t="str">
        <f>HYPERLINK("https://www.boe.es/gazeta/dias/1803/11/04/pdfs/GMD-1803-89.pdf#page=7","Abrir facsímil")</f>
        <v>Abrir facsímil</v>
      </c>
      <c r="K3706" s="15" t="s">
        <v>23</v>
      </c>
    </row>
    <row r="3707" spans="1:11" ht="42" customHeight="1">
      <c r="A3707" s="4" t="s">
        <v>9255</v>
      </c>
      <c r="B3707" s="5" t="s">
        <v>9256</v>
      </c>
      <c r="C3707" s="5" t="s">
        <v>225</v>
      </c>
      <c r="D3707" s="5" t="s">
        <v>226</v>
      </c>
      <c r="E3707" s="5" t="s">
        <v>191</v>
      </c>
      <c r="F3707" s="9">
        <v>34</v>
      </c>
      <c r="G3707" s="9" t="s">
        <v>2434</v>
      </c>
      <c r="H3707" s="5" t="s">
        <v>21</v>
      </c>
      <c r="I3707" s="5" t="s">
        <v>9257</v>
      </c>
      <c r="J3707" s="12" t="str">
        <f>HYPERLINK("https://www.boe.es/gazeta/dias/1803/04/29/pdfs/GMD-C-1803-34.pdf#page=11","Abrir facsímil")</f>
        <v>Abrir facsímil</v>
      </c>
      <c r="K3707" s="15" t="s">
        <v>23</v>
      </c>
    </row>
    <row r="3708" spans="1:11" ht="42" customHeight="1">
      <c r="A3708" s="4" t="s">
        <v>9258</v>
      </c>
      <c r="B3708" s="5" t="s">
        <v>9259</v>
      </c>
      <c r="C3708" s="5" t="s">
        <v>26</v>
      </c>
      <c r="D3708" s="5" t="s">
        <v>27</v>
      </c>
      <c r="E3708" s="5" t="s">
        <v>207</v>
      </c>
      <c r="F3708" s="9">
        <v>27</v>
      </c>
      <c r="G3708" s="9">
        <v>293</v>
      </c>
      <c r="H3708" s="5" t="s">
        <v>21</v>
      </c>
      <c r="I3708" s="5" t="s">
        <v>9260</v>
      </c>
      <c r="J3708" s="12" t="str">
        <f>HYPERLINK("https://www.boe.es/gazeta/dias/1803/04/05/pdfs/GMD-1803-27.pdf#page=9","Abrir facsímil")</f>
        <v>Abrir facsímil</v>
      </c>
      <c r="K3708" s="15" t="s">
        <v>23</v>
      </c>
    </row>
    <row r="3709" spans="1:11" ht="42" customHeight="1">
      <c r="A3709" s="4" t="s">
        <v>9261</v>
      </c>
      <c r="B3709" s="5" t="s">
        <v>9262</v>
      </c>
      <c r="C3709" s="5" t="s">
        <v>51</v>
      </c>
      <c r="D3709" s="5" t="s">
        <v>52</v>
      </c>
      <c r="E3709" s="5" t="s">
        <v>189</v>
      </c>
      <c r="F3709" s="9">
        <v>9</v>
      </c>
      <c r="G3709" s="9">
        <v>92</v>
      </c>
      <c r="H3709" s="5" t="s">
        <v>21</v>
      </c>
      <c r="I3709" s="5" t="s">
        <v>9263</v>
      </c>
      <c r="J3709" s="12" t="str">
        <f>HYPERLINK("https://www.boe.es/gazeta/dias/1803/02/01/pdfs/GMD-1803-9.pdf#page=8","Abrir facsímil")</f>
        <v>Abrir facsímil</v>
      </c>
      <c r="K3709" s="15" t="s">
        <v>23</v>
      </c>
    </row>
    <row r="3710" spans="1:11" ht="42" customHeight="1">
      <c r="A3710" s="4" t="s">
        <v>9264</v>
      </c>
      <c r="B3710" s="5" t="s">
        <v>9265</v>
      </c>
      <c r="C3710" s="5" t="s">
        <v>80</v>
      </c>
      <c r="D3710" s="5" t="s">
        <v>81</v>
      </c>
      <c r="E3710" s="5" t="s">
        <v>214</v>
      </c>
      <c r="F3710" s="9">
        <v>17</v>
      </c>
      <c r="G3710" s="9">
        <v>180</v>
      </c>
      <c r="H3710" s="5" t="s">
        <v>21</v>
      </c>
      <c r="I3710" s="5" t="s">
        <v>9266</v>
      </c>
      <c r="J3710" s="12" t="str">
        <f>HYPERLINK("https://www.boe.es/gazeta/dias/1803/03/01/pdfs/GMD-1803-17.pdf#page=12","Abrir facsímil")</f>
        <v>Abrir facsímil</v>
      </c>
      <c r="K3710" s="15" t="s">
        <v>23</v>
      </c>
    </row>
    <row r="3711" spans="1:11" ht="42" customHeight="1">
      <c r="A3711" s="4" t="s">
        <v>9267</v>
      </c>
      <c r="B3711" s="5" t="s">
        <v>9268</v>
      </c>
      <c r="C3711" s="5" t="s">
        <v>26</v>
      </c>
      <c r="D3711" s="5" t="s">
        <v>27</v>
      </c>
      <c r="E3711" s="5" t="s">
        <v>1915</v>
      </c>
      <c r="F3711" s="9">
        <v>44</v>
      </c>
      <c r="G3711" s="9">
        <v>459</v>
      </c>
      <c r="H3711" s="5" t="s">
        <v>21</v>
      </c>
      <c r="I3711" s="5" t="s">
        <v>9269</v>
      </c>
      <c r="J3711" s="12" t="str">
        <f>HYPERLINK("https://www.boe.es/gazeta/dias/1803/06/03/pdfs/GMD-1803-44.pdf#page=7","Abrir facsímil")</f>
        <v>Abrir facsímil</v>
      </c>
      <c r="K3711" s="15" t="s">
        <v>23</v>
      </c>
    </row>
    <row r="3712" spans="1:11" ht="42" customHeight="1">
      <c r="A3712" s="4" t="s">
        <v>9270</v>
      </c>
      <c r="B3712" s="5" t="s">
        <v>9271</v>
      </c>
      <c r="C3712" s="5" t="s">
        <v>26</v>
      </c>
      <c r="D3712" s="5" t="s">
        <v>27</v>
      </c>
      <c r="E3712" s="5" t="s">
        <v>501</v>
      </c>
      <c r="F3712" s="9">
        <v>22</v>
      </c>
      <c r="G3712" s="9">
        <v>237</v>
      </c>
      <c r="H3712" s="5" t="s">
        <v>21</v>
      </c>
      <c r="I3712" s="5" t="s">
        <v>9272</v>
      </c>
      <c r="J3712" s="12" t="str">
        <f>HYPERLINK("https://www.boe.es/gazeta/dias/1803/03/18/pdfs/GMD-1803-22.pdf#page=9","Abrir facsímil")</f>
        <v>Abrir facsímil</v>
      </c>
      <c r="K3712" s="15" t="s">
        <v>23</v>
      </c>
    </row>
    <row r="3713" spans="1:11" ht="42" customHeight="1">
      <c r="A3713" s="4" t="s">
        <v>9273</v>
      </c>
      <c r="B3713" s="5" t="s">
        <v>9273</v>
      </c>
      <c r="C3713" s="5" t="s">
        <v>80</v>
      </c>
      <c r="D3713" s="5" t="s">
        <v>81</v>
      </c>
      <c r="E3713" s="5" t="s">
        <v>211</v>
      </c>
      <c r="F3713" s="9">
        <v>71</v>
      </c>
      <c r="G3713" s="9">
        <v>779</v>
      </c>
      <c r="H3713" s="5" t="s">
        <v>21</v>
      </c>
      <c r="I3713" s="5" t="s">
        <v>9274</v>
      </c>
      <c r="J3713" s="12" t="str">
        <f>HYPERLINK("https://www.boe.es/gazeta/dias/1803/09/06/pdfs/GMD-1803-71.pdf#page=11","Abrir facsímil")</f>
        <v>Abrir facsímil</v>
      </c>
      <c r="K3713" s="15" t="s">
        <v>23</v>
      </c>
    </row>
    <row r="3714" spans="1:11" ht="42" customHeight="1">
      <c r="A3714" s="4" t="s">
        <v>9275</v>
      </c>
      <c r="B3714" s="5" t="s">
        <v>9275</v>
      </c>
      <c r="C3714" s="5" t="s">
        <v>80</v>
      </c>
      <c r="D3714" s="5" t="s">
        <v>81</v>
      </c>
      <c r="E3714" s="5" t="s">
        <v>293</v>
      </c>
      <c r="F3714" s="9">
        <v>45</v>
      </c>
      <c r="G3714" s="9">
        <v>476</v>
      </c>
      <c r="H3714" s="5" t="s">
        <v>21</v>
      </c>
      <c r="I3714" s="5" t="s">
        <v>9276</v>
      </c>
      <c r="J3714" s="12" t="str">
        <f>HYPERLINK("https://www.boe.es/gazeta/dias/1803/06/07/pdfs/GMD-1803-45.pdf#page=12","Abrir facsímil")</f>
        <v>Abrir facsímil</v>
      </c>
      <c r="K3714" s="15" t="s">
        <v>23</v>
      </c>
    </row>
    <row r="3715" spans="1:11" ht="42" customHeight="1">
      <c r="A3715" s="4" t="s">
        <v>9277</v>
      </c>
      <c r="B3715" s="5" t="s">
        <v>9277</v>
      </c>
      <c r="C3715" s="5" t="s">
        <v>26</v>
      </c>
      <c r="D3715" s="5" t="s">
        <v>27</v>
      </c>
      <c r="E3715" s="5" t="s">
        <v>148</v>
      </c>
      <c r="F3715" s="9">
        <v>15</v>
      </c>
      <c r="G3715" s="9">
        <v>158</v>
      </c>
      <c r="H3715" s="5" t="s">
        <v>21</v>
      </c>
      <c r="I3715" s="5" t="s">
        <v>9278</v>
      </c>
      <c r="J3715" s="12" t="str">
        <f>HYPERLINK("https://www.boe.es/gazeta/dias/1803/02/22/pdfs/GMD-1803-15.pdf#page=10","Abrir facsímil")</f>
        <v>Abrir facsímil</v>
      </c>
      <c r="K3715" s="15" t="s">
        <v>23</v>
      </c>
    </row>
    <row r="3716" spans="1:11" ht="42" customHeight="1">
      <c r="A3716" s="4" t="s">
        <v>9279</v>
      </c>
      <c r="B3716" s="5" t="s">
        <v>9279</v>
      </c>
      <c r="C3716" s="5" t="s">
        <v>51</v>
      </c>
      <c r="D3716" s="5" t="s">
        <v>52</v>
      </c>
      <c r="E3716" s="5" t="s">
        <v>68</v>
      </c>
      <c r="F3716" s="9">
        <v>23</v>
      </c>
      <c r="G3716" s="9">
        <v>246</v>
      </c>
      <c r="H3716" s="5" t="s">
        <v>21</v>
      </c>
      <c r="I3716" s="5" t="s">
        <v>9280</v>
      </c>
      <c r="J3716" s="12" t="str">
        <f>HYPERLINK("https://www.boe.es/gazeta/dias/1803/03/22/pdfs/GMD-1803-23.pdf#page=6","Abrir facsímil")</f>
        <v>Abrir facsímil</v>
      </c>
      <c r="K3716" s="15" t="s">
        <v>23</v>
      </c>
    </row>
    <row r="3717" spans="1:11" ht="42" customHeight="1">
      <c r="A3717" s="4" t="s">
        <v>9281</v>
      </c>
      <c r="B3717" s="5" t="s">
        <v>9281</v>
      </c>
      <c r="C3717" s="5" t="s">
        <v>26</v>
      </c>
      <c r="D3717" s="5" t="s">
        <v>27</v>
      </c>
      <c r="E3717" s="5" t="s">
        <v>784</v>
      </c>
      <c r="F3717" s="9">
        <v>86</v>
      </c>
      <c r="G3717" s="9">
        <v>930</v>
      </c>
      <c r="H3717" s="5" t="s">
        <v>21</v>
      </c>
      <c r="I3717" s="5" t="s">
        <v>9282</v>
      </c>
      <c r="J3717" s="12" t="str">
        <f>HYPERLINK("https://www.boe.es/gazeta/dias/1803/10/25/pdfs/GMD-1803-86.pdf#page=10","Abrir facsímil")</f>
        <v>Abrir facsímil</v>
      </c>
      <c r="K3717" s="15" t="s">
        <v>23</v>
      </c>
    </row>
    <row r="3718" spans="1:11" ht="42" customHeight="1">
      <c r="A3718" s="4" t="s">
        <v>9283</v>
      </c>
      <c r="B3718" s="5" t="s">
        <v>9283</v>
      </c>
      <c r="C3718" s="5" t="s">
        <v>40</v>
      </c>
      <c r="D3718" s="5" t="s">
        <v>41</v>
      </c>
      <c r="E3718" s="5" t="s">
        <v>493</v>
      </c>
      <c r="F3718" s="9">
        <v>104</v>
      </c>
      <c r="G3718" s="9">
        <v>1112</v>
      </c>
      <c r="H3718" s="5" t="s">
        <v>21</v>
      </c>
      <c r="I3718" s="5" t="s">
        <v>9284</v>
      </c>
      <c r="J3718" s="12" t="str">
        <f>HYPERLINK("https://www.boe.es/gazeta/dias/1803/12/27/pdfs/GMD-1803-104.pdf#page=4","Abrir facsímil")</f>
        <v>Abrir facsímil</v>
      </c>
      <c r="K3718" s="15" t="s">
        <v>23</v>
      </c>
    </row>
    <row r="3719" spans="1:11" ht="42" customHeight="1">
      <c r="A3719" s="4" t="s">
        <v>9285</v>
      </c>
      <c r="B3719" s="5" t="s">
        <v>9285</v>
      </c>
      <c r="C3719" s="5" t="s">
        <v>26</v>
      </c>
      <c r="D3719" s="5" t="s">
        <v>27</v>
      </c>
      <c r="E3719" s="5" t="s">
        <v>20</v>
      </c>
      <c r="F3719" s="9">
        <v>97</v>
      </c>
      <c r="G3719" s="9">
        <v>1041</v>
      </c>
      <c r="H3719" s="5" t="s">
        <v>21</v>
      </c>
      <c r="I3719" s="5" t="s">
        <v>9286</v>
      </c>
      <c r="J3719" s="12" t="str">
        <f>HYPERLINK("https://www.boe.es/gazeta/dias/1803/12/02/pdfs/GMD-1803-97.pdf#page=5","Abrir facsímil")</f>
        <v>Abrir facsímil</v>
      </c>
      <c r="K3719" s="15" t="s">
        <v>23</v>
      </c>
    </row>
    <row r="3720" spans="1:11" ht="42" customHeight="1">
      <c r="A3720" s="4" t="s">
        <v>9287</v>
      </c>
      <c r="B3720" s="5" t="s">
        <v>9288</v>
      </c>
      <c r="C3720" s="5" t="s">
        <v>26</v>
      </c>
      <c r="D3720" s="5" t="s">
        <v>27</v>
      </c>
      <c r="E3720" s="5" t="s">
        <v>403</v>
      </c>
      <c r="F3720" s="9">
        <v>91</v>
      </c>
      <c r="G3720" s="9">
        <v>977</v>
      </c>
      <c r="H3720" s="5" t="s">
        <v>21</v>
      </c>
      <c r="I3720" s="5" t="s">
        <v>9289</v>
      </c>
      <c r="J3720" s="12" t="str">
        <f>HYPERLINK("https://www.boe.es/gazeta/dias/1803/11/11/pdfs/GMD-1803-91.pdf#page=9","Abrir facsímil")</f>
        <v>Abrir facsímil</v>
      </c>
      <c r="K3720" s="15" t="s">
        <v>23</v>
      </c>
    </row>
    <row r="3721" spans="1:11" ht="42" customHeight="1">
      <c r="A3721" s="4" t="s">
        <v>9290</v>
      </c>
      <c r="B3721" s="5" t="s">
        <v>9291</v>
      </c>
      <c r="C3721" s="5" t="s">
        <v>26</v>
      </c>
      <c r="D3721" s="5" t="s">
        <v>27</v>
      </c>
      <c r="E3721" s="5" t="s">
        <v>1051</v>
      </c>
      <c r="F3721" s="9">
        <v>40</v>
      </c>
      <c r="G3721" s="9">
        <v>423</v>
      </c>
      <c r="H3721" s="5" t="s">
        <v>21</v>
      </c>
      <c r="I3721" s="5" t="s">
        <v>9292</v>
      </c>
      <c r="J3721" s="12" t="str">
        <f>HYPERLINK("https://www.boe.es/gazeta/dias/1803/05/20/pdfs/GMD-1803-40.pdf#page=7","Abrir facsímil")</f>
        <v>Abrir facsímil</v>
      </c>
      <c r="K3721" s="15" t="s">
        <v>23</v>
      </c>
    </row>
    <row r="3722" spans="1:11" ht="42" customHeight="1">
      <c r="A3722" s="4" t="s">
        <v>9293</v>
      </c>
      <c r="B3722" s="5" t="s">
        <v>9294</v>
      </c>
      <c r="C3722" s="5" t="s">
        <v>46</v>
      </c>
      <c r="D3722" s="5" t="s">
        <v>19</v>
      </c>
      <c r="E3722" s="5" t="s">
        <v>910</v>
      </c>
      <c r="F3722" s="9">
        <v>66</v>
      </c>
      <c r="G3722" s="9">
        <v>719</v>
      </c>
      <c r="H3722" s="5" t="s">
        <v>21</v>
      </c>
      <c r="I3722" s="5" t="s">
        <v>9295</v>
      </c>
      <c r="J3722" s="12" t="str">
        <f>HYPERLINK("https://www.boe.es/gazeta/dias/1803/08/19/pdfs/GMD-1803-66.pdf#page=7","Abrir facsímil")</f>
        <v>Abrir facsímil</v>
      </c>
      <c r="K3722" s="15" t="s">
        <v>23</v>
      </c>
    </row>
    <row r="3723" spans="1:11" ht="42" customHeight="1">
      <c r="A3723" s="4" t="s">
        <v>9296</v>
      </c>
      <c r="B3723" s="5" t="s">
        <v>9297</v>
      </c>
      <c r="C3723" s="5" t="s">
        <v>26</v>
      </c>
      <c r="D3723" s="5" t="s">
        <v>27</v>
      </c>
      <c r="E3723" s="5" t="s">
        <v>373</v>
      </c>
      <c r="F3723" s="9">
        <v>77</v>
      </c>
      <c r="G3723" s="9">
        <v>834</v>
      </c>
      <c r="H3723" s="5" t="s">
        <v>21</v>
      </c>
      <c r="I3723" s="5" t="s">
        <v>9298</v>
      </c>
      <c r="J3723" s="12" t="str">
        <f>HYPERLINK("https://www.boe.es/gazeta/dias/1803/09/23/pdfs/GMD-1803-77.pdf#page=10","Abrir facsímil")</f>
        <v>Abrir facsímil</v>
      </c>
      <c r="K3723" s="15" t="s">
        <v>23</v>
      </c>
    </row>
    <row r="3724" spans="1:11" ht="42" customHeight="1">
      <c r="A3724" s="4" t="s">
        <v>9299</v>
      </c>
      <c r="B3724" s="5" t="s">
        <v>9300</v>
      </c>
      <c r="C3724" s="5" t="s">
        <v>80</v>
      </c>
      <c r="D3724" s="5" t="s">
        <v>81</v>
      </c>
      <c r="E3724" s="5" t="s">
        <v>164</v>
      </c>
      <c r="F3724" s="9">
        <v>84</v>
      </c>
      <c r="G3724" s="9">
        <v>904</v>
      </c>
      <c r="H3724" s="5" t="s">
        <v>21</v>
      </c>
      <c r="I3724" s="5" t="s">
        <v>9301</v>
      </c>
      <c r="J3724" s="12" t="str">
        <f>HYPERLINK("https://www.boe.es/gazeta/dias/1803/10/18/pdfs/GMD-1803-84.pdf#page=8","Abrir facsímil")</f>
        <v>Abrir facsímil</v>
      </c>
      <c r="K3724" s="15" t="s">
        <v>23</v>
      </c>
    </row>
    <row r="3725" spans="1:11" ht="42" customHeight="1">
      <c r="A3725" s="4" t="s">
        <v>9302</v>
      </c>
      <c r="B3725" s="5" t="s">
        <v>9303</v>
      </c>
      <c r="C3725" s="5" t="s">
        <v>18</v>
      </c>
      <c r="D3725" s="5" t="s">
        <v>19</v>
      </c>
      <c r="E3725" s="5" t="s">
        <v>36</v>
      </c>
      <c r="F3725" s="9">
        <v>79</v>
      </c>
      <c r="G3725" s="9">
        <v>855</v>
      </c>
      <c r="H3725" s="5" t="s">
        <v>21</v>
      </c>
      <c r="I3725" s="5" t="s">
        <v>9304</v>
      </c>
      <c r="J3725" s="12" t="str">
        <f>HYPERLINK("https://www.boe.es/gazeta/dias/1803/09/30/pdfs/GMD-1803-79.pdf#page=7","Abrir facsímil")</f>
        <v>Abrir facsímil</v>
      </c>
      <c r="K3725" s="15" t="s">
        <v>23</v>
      </c>
    </row>
    <row r="3726" spans="1:11" ht="42" customHeight="1">
      <c r="A3726" s="4" t="s">
        <v>9305</v>
      </c>
      <c r="B3726" s="5" t="s">
        <v>9306</v>
      </c>
      <c r="C3726" s="5" t="s">
        <v>18</v>
      </c>
      <c r="D3726" s="5" t="s">
        <v>19</v>
      </c>
      <c r="E3726" s="5" t="s">
        <v>83</v>
      </c>
      <c r="F3726" s="9">
        <v>28</v>
      </c>
      <c r="G3726" s="9">
        <v>303</v>
      </c>
      <c r="H3726" s="5" t="s">
        <v>21</v>
      </c>
      <c r="I3726" s="5" t="s">
        <v>9307</v>
      </c>
      <c r="J3726" s="12" t="str">
        <f>HYPERLINK("https://www.boe.es/gazeta/dias/1803/04/08/pdfs/GMD-1803-28.pdf#page=7","Abrir facsímil")</f>
        <v>Abrir facsímil</v>
      </c>
      <c r="K3726" s="15" t="s">
        <v>23</v>
      </c>
    </row>
    <row r="3727" spans="1:11" ht="42" customHeight="1">
      <c r="A3727" s="4" t="s">
        <v>9308</v>
      </c>
      <c r="B3727" s="5" t="s">
        <v>9309</v>
      </c>
      <c r="C3727" s="5" t="s">
        <v>26</v>
      </c>
      <c r="D3727" s="5" t="s">
        <v>27</v>
      </c>
      <c r="E3727" s="5" t="s">
        <v>1846</v>
      </c>
      <c r="F3727" s="9">
        <v>89</v>
      </c>
      <c r="G3727" s="9">
        <v>959</v>
      </c>
      <c r="H3727" s="5" t="s">
        <v>21</v>
      </c>
      <c r="I3727" s="5" t="s">
        <v>9310</v>
      </c>
      <c r="J3727" s="12" t="str">
        <f>HYPERLINK("https://www.boe.es/gazeta/dias/1803/11/04/pdfs/GMD-1803-89.pdf#page=7","Abrir facsímil")</f>
        <v>Abrir facsímil</v>
      </c>
      <c r="K3727" s="15" t="s">
        <v>23</v>
      </c>
    </row>
    <row r="3728" spans="1:11" ht="42" customHeight="1">
      <c r="A3728" s="4" t="s">
        <v>9311</v>
      </c>
      <c r="B3728" s="5" t="s">
        <v>9312</v>
      </c>
      <c r="C3728" s="5" t="s">
        <v>51</v>
      </c>
      <c r="D3728" s="5" t="s">
        <v>52</v>
      </c>
      <c r="E3728" s="5" t="s">
        <v>174</v>
      </c>
      <c r="F3728" s="9">
        <v>21</v>
      </c>
      <c r="G3728" s="9">
        <v>226</v>
      </c>
      <c r="H3728" s="5" t="s">
        <v>21</v>
      </c>
      <c r="I3728" s="5" t="s">
        <v>9313</v>
      </c>
      <c r="J3728" s="12" t="str">
        <f>HYPERLINK("https://www.boe.es/gazeta/dias/1803/03/15/pdfs/GMD-1803-21.pdf#page=10","Abrir facsímil")</f>
        <v>Abrir facsímil</v>
      </c>
      <c r="K3728" s="15" t="s">
        <v>23</v>
      </c>
    </row>
    <row r="3729" spans="1:11" ht="42" customHeight="1">
      <c r="A3729" s="4" t="s">
        <v>9311</v>
      </c>
      <c r="B3729" s="5" t="s">
        <v>9312</v>
      </c>
      <c r="C3729" s="5" t="s">
        <v>225</v>
      </c>
      <c r="D3729" s="5" t="s">
        <v>226</v>
      </c>
      <c r="E3729" s="5" t="s">
        <v>609</v>
      </c>
      <c r="F3729" s="9">
        <v>57</v>
      </c>
      <c r="G3729" s="9">
        <v>622</v>
      </c>
      <c r="H3729" s="5" t="s">
        <v>21</v>
      </c>
      <c r="I3729" s="5" t="s">
        <v>9314</v>
      </c>
      <c r="J3729" s="12" t="str">
        <f>HYPERLINK("https://www.boe.es/gazeta/dias/1803/07/19/pdfs/GMD-C-1803-57.pdf#page=2","Abrir facsímil")</f>
        <v>Abrir facsímil</v>
      </c>
      <c r="K3729" s="15" t="s">
        <v>23</v>
      </c>
    </row>
    <row r="3730" spans="1:11" ht="42" customHeight="1">
      <c r="A3730" s="4" t="s">
        <v>9311</v>
      </c>
      <c r="B3730" s="5" t="s">
        <v>9312</v>
      </c>
      <c r="C3730" s="5" t="s">
        <v>51</v>
      </c>
      <c r="D3730" s="5" t="s">
        <v>52</v>
      </c>
      <c r="E3730" s="5" t="s">
        <v>113</v>
      </c>
      <c r="F3730" s="9">
        <v>93</v>
      </c>
      <c r="G3730" s="9">
        <v>997</v>
      </c>
      <c r="H3730" s="5" t="s">
        <v>21</v>
      </c>
      <c r="I3730" s="5" t="s">
        <v>9315</v>
      </c>
      <c r="J3730" s="12" t="str">
        <f>HYPERLINK("https://www.boe.es/gazeta/dias/1803/11/18/pdfs/GMD-1803-93.pdf#page=9","Abrir facsímil")</f>
        <v>Abrir facsímil</v>
      </c>
      <c r="K3730" s="15" t="s">
        <v>23</v>
      </c>
    </row>
    <row r="3731" spans="1:11" ht="42" customHeight="1">
      <c r="A3731" s="4" t="s">
        <v>9316</v>
      </c>
      <c r="B3731" s="5" t="s">
        <v>9317</v>
      </c>
      <c r="C3731" s="5" t="s">
        <v>51</v>
      </c>
      <c r="D3731" s="5" t="s">
        <v>52</v>
      </c>
      <c r="E3731" s="5" t="s">
        <v>47</v>
      </c>
      <c r="F3731" s="9">
        <v>33</v>
      </c>
      <c r="G3731" s="9">
        <v>351</v>
      </c>
      <c r="H3731" s="5" t="s">
        <v>21</v>
      </c>
      <c r="I3731" s="5" t="s">
        <v>9318</v>
      </c>
      <c r="J3731" s="12" t="str">
        <f>HYPERLINK("https://www.boe.es/gazeta/dias/1803/04/26/pdfs/GMD-1803-33.pdf#page=11","Abrir facsímil")</f>
        <v>Abrir facsímil</v>
      </c>
      <c r="K3731" s="15" t="s">
        <v>23</v>
      </c>
    </row>
    <row r="3732" spans="1:11" ht="42" customHeight="1">
      <c r="A3732" s="4" t="s">
        <v>9319</v>
      </c>
      <c r="B3732" s="5" t="s">
        <v>9320</v>
      </c>
      <c r="C3732" s="5" t="s">
        <v>26</v>
      </c>
      <c r="D3732" s="5" t="s">
        <v>27</v>
      </c>
      <c r="E3732" s="5" t="s">
        <v>407</v>
      </c>
      <c r="F3732" s="9">
        <v>82</v>
      </c>
      <c r="G3732" s="9">
        <v>885</v>
      </c>
      <c r="H3732" s="5" t="s">
        <v>21</v>
      </c>
      <c r="I3732" s="5" t="s">
        <v>9321</v>
      </c>
      <c r="J3732" s="12" t="str">
        <f>HYPERLINK("https://www.boe.es/gazeta/dias/1803/10/11/pdfs/GMD-1803-82.pdf#page=9","Abrir facsímil")</f>
        <v>Abrir facsímil</v>
      </c>
      <c r="K3732" s="15" t="s">
        <v>23</v>
      </c>
    </row>
    <row r="3733" spans="1:11" ht="42" customHeight="1">
      <c r="A3733" s="4" t="s">
        <v>9322</v>
      </c>
      <c r="B3733" s="5" t="s">
        <v>9322</v>
      </c>
      <c r="C3733" s="5" t="s">
        <v>51</v>
      </c>
      <c r="D3733" s="5" t="s">
        <v>52</v>
      </c>
      <c r="E3733" s="5" t="s">
        <v>285</v>
      </c>
      <c r="F3733" s="9">
        <v>5</v>
      </c>
      <c r="G3733" s="9">
        <v>46</v>
      </c>
      <c r="H3733" s="5" t="s">
        <v>21</v>
      </c>
      <c r="I3733" s="5" t="s">
        <v>9323</v>
      </c>
      <c r="J3733" s="12" t="str">
        <f>HYPERLINK("https://www.boe.es/gazeta/dias/1803/01/18/pdfs/GMD-1803-5.pdf#page=10","Abrir facsímil")</f>
        <v>Abrir facsímil</v>
      </c>
      <c r="K3733" s="15" t="s">
        <v>23</v>
      </c>
    </row>
    <row r="3734" spans="1:11" ht="42" customHeight="1">
      <c r="A3734" s="4" t="s">
        <v>9324</v>
      </c>
      <c r="B3734" s="5" t="s">
        <v>9324</v>
      </c>
      <c r="C3734" s="5" t="s">
        <v>40</v>
      </c>
      <c r="D3734" s="5" t="s">
        <v>41</v>
      </c>
      <c r="E3734" s="5" t="s">
        <v>519</v>
      </c>
      <c r="F3734" s="9">
        <v>50</v>
      </c>
      <c r="G3734" s="9">
        <v>538</v>
      </c>
      <c r="H3734" s="5" t="s">
        <v>21</v>
      </c>
      <c r="I3734" s="5" t="s">
        <v>9325</v>
      </c>
      <c r="J3734" s="12" t="str">
        <f>HYPERLINK("https://www.boe.es/gazeta/dias/1803/06/24/pdfs/GMD-1803-50.pdf#page=6","Abrir facsímil")</f>
        <v>Abrir facsímil</v>
      </c>
      <c r="K3734" s="15" t="s">
        <v>23</v>
      </c>
    </row>
    <row r="3735" spans="1:11" ht="42" customHeight="1">
      <c r="A3735" s="4" t="s">
        <v>9326</v>
      </c>
      <c r="B3735" s="5" t="s">
        <v>9327</v>
      </c>
      <c r="C3735" s="5" t="s">
        <v>18</v>
      </c>
      <c r="D3735" s="5" t="s">
        <v>19</v>
      </c>
      <c r="E3735" s="5" t="s">
        <v>407</v>
      </c>
      <c r="F3735" s="9">
        <v>82</v>
      </c>
      <c r="G3735" s="9">
        <v>885</v>
      </c>
      <c r="H3735" s="5" t="s">
        <v>21</v>
      </c>
      <c r="I3735" s="5" t="s">
        <v>9328</v>
      </c>
      <c r="J3735" s="12" t="str">
        <f>HYPERLINK("https://www.boe.es/gazeta/dias/1803/10/11/pdfs/GMD-1803-82.pdf#page=9","Abrir facsímil")</f>
        <v>Abrir facsímil</v>
      </c>
      <c r="K3735" s="15" t="s">
        <v>23</v>
      </c>
    </row>
    <row r="3736" spans="1:11" ht="42" customHeight="1">
      <c r="A3736" s="4" t="s">
        <v>9329</v>
      </c>
      <c r="B3736" s="5" t="s">
        <v>9330</v>
      </c>
      <c r="C3736" s="5" t="s">
        <v>26</v>
      </c>
      <c r="D3736" s="5" t="s">
        <v>27</v>
      </c>
      <c r="E3736" s="5" t="s">
        <v>328</v>
      </c>
      <c r="F3736" s="9">
        <v>54</v>
      </c>
      <c r="G3736" s="9">
        <v>591</v>
      </c>
      <c r="H3736" s="5" t="s">
        <v>21</v>
      </c>
      <c r="I3736" s="5" t="s">
        <v>9331</v>
      </c>
      <c r="J3736" s="12" t="str">
        <f>HYPERLINK("https://www.boe.es/gazeta/dias/1803/07/08/pdfs/GMD-1803-54.pdf#page=11","Abrir facsímil")</f>
        <v>Abrir facsímil</v>
      </c>
      <c r="K3736" s="15" t="s">
        <v>23</v>
      </c>
    </row>
    <row r="3737" spans="1:11" ht="42" customHeight="1">
      <c r="A3737" s="4" t="s">
        <v>9332</v>
      </c>
      <c r="B3737" s="5" t="s">
        <v>9333</v>
      </c>
      <c r="C3737" s="5" t="s">
        <v>8461</v>
      </c>
      <c r="D3737" s="5" t="s">
        <v>8462</v>
      </c>
      <c r="E3737" s="5" t="s">
        <v>442</v>
      </c>
      <c r="F3737" s="9" t="s">
        <v>443</v>
      </c>
      <c r="G3737" s="9">
        <v>792</v>
      </c>
      <c r="H3737" s="5" t="s">
        <v>21</v>
      </c>
      <c r="I3737" s="5" t="s">
        <v>9334</v>
      </c>
      <c r="J3737" s="12" t="str">
        <f>HYPERLINK("https://www.boe.es/gazeta/dias/1803/09/12/pdfs/GMD-1803-73E.pdf#page=4","Abrir facsímil")</f>
        <v>Abrir facsímil</v>
      </c>
      <c r="K3737" s="15" t="s">
        <v>23</v>
      </c>
    </row>
    <row r="3738" spans="1:11" ht="42" customHeight="1">
      <c r="A3738" s="4" t="s">
        <v>9335</v>
      </c>
      <c r="B3738" s="5" t="s">
        <v>9336</v>
      </c>
      <c r="C3738" s="5" t="s">
        <v>40</v>
      </c>
      <c r="D3738" s="5" t="s">
        <v>41</v>
      </c>
      <c r="E3738" s="5" t="s">
        <v>53</v>
      </c>
      <c r="F3738" s="9">
        <v>99</v>
      </c>
      <c r="G3738" s="9">
        <v>1054</v>
      </c>
      <c r="H3738" s="5" t="s">
        <v>21</v>
      </c>
      <c r="I3738" s="5" t="s">
        <v>9337</v>
      </c>
      <c r="J3738" s="12" t="str">
        <f>HYPERLINK("https://www.boe.es/gazeta/dias/1803/12/09/pdfs/GMD-1803-99.pdf#page=2","Abrir facsímil")</f>
        <v>Abrir facsímil</v>
      </c>
      <c r="K3738" s="15" t="s">
        <v>23</v>
      </c>
    </row>
    <row r="3739" spans="1:11" ht="42" customHeight="1">
      <c r="A3739" s="4" t="s">
        <v>9338</v>
      </c>
      <c r="B3739" s="5" t="s">
        <v>9339</v>
      </c>
      <c r="C3739" s="5" t="s">
        <v>80</v>
      </c>
      <c r="D3739" s="5" t="s">
        <v>81</v>
      </c>
      <c r="E3739" s="5" t="s">
        <v>293</v>
      </c>
      <c r="F3739" s="9">
        <v>45</v>
      </c>
      <c r="G3739" s="9">
        <v>470</v>
      </c>
      <c r="H3739" s="5" t="s">
        <v>21</v>
      </c>
      <c r="I3739" s="5" t="s">
        <v>9340</v>
      </c>
      <c r="J3739" s="12" t="str">
        <f>HYPERLINK("https://www.boe.es/gazeta/dias/1803/06/07/pdfs/GMD-1803-45.pdf#page=6","Abrir facsímil")</f>
        <v>Abrir facsímil</v>
      </c>
      <c r="K3739" s="15" t="s">
        <v>23</v>
      </c>
    </row>
    <row r="3740" spans="1:11" ht="42" customHeight="1">
      <c r="A3740" s="4" t="s">
        <v>9341</v>
      </c>
      <c r="B3740" s="5" t="s">
        <v>9342</v>
      </c>
      <c r="C3740" s="5" t="s">
        <v>26</v>
      </c>
      <c r="D3740" s="5" t="s">
        <v>27</v>
      </c>
      <c r="E3740" s="5" t="s">
        <v>293</v>
      </c>
      <c r="F3740" s="9">
        <v>45</v>
      </c>
      <c r="G3740" s="9">
        <v>471</v>
      </c>
      <c r="H3740" s="5" t="s">
        <v>21</v>
      </c>
      <c r="I3740" s="5" t="s">
        <v>9343</v>
      </c>
      <c r="J3740" s="12" t="str">
        <f>HYPERLINK("https://www.boe.es/gazeta/dias/1803/06/07/pdfs/GMD-1803-45.pdf#page=7","Abrir facsímil")</f>
        <v>Abrir facsímil</v>
      </c>
      <c r="K3740" s="15" t="s">
        <v>23</v>
      </c>
    </row>
    <row r="3741" spans="1:11" ht="42" customHeight="1">
      <c r="A3741" s="4" t="s">
        <v>9344</v>
      </c>
      <c r="B3741" s="5" t="s">
        <v>9344</v>
      </c>
      <c r="C3741" s="5" t="s">
        <v>40</v>
      </c>
      <c r="D3741" s="5" t="s">
        <v>41</v>
      </c>
      <c r="E3741" s="5" t="s">
        <v>726</v>
      </c>
      <c r="F3741" s="9">
        <v>78</v>
      </c>
      <c r="G3741" s="9">
        <v>837</v>
      </c>
      <c r="H3741" s="5" t="s">
        <v>21</v>
      </c>
      <c r="I3741" s="5" t="s">
        <v>9345</v>
      </c>
      <c r="J3741" s="12" t="str">
        <f>HYPERLINK("https://www.boe.es/gazeta/dias/1803/09/27/pdfs/GMD-1803-78.pdf#page=1","Abrir facsímil")</f>
        <v>Abrir facsímil</v>
      </c>
      <c r="K3741" s="15" t="s">
        <v>23</v>
      </c>
    </row>
    <row r="3742" spans="1:11" ht="42" customHeight="1">
      <c r="A3742" s="4" t="s">
        <v>9346</v>
      </c>
      <c r="B3742" s="5" t="s">
        <v>9347</v>
      </c>
      <c r="C3742" s="5" t="s">
        <v>18</v>
      </c>
      <c r="D3742" s="5" t="s">
        <v>19</v>
      </c>
      <c r="E3742" s="5" t="s">
        <v>199</v>
      </c>
      <c r="F3742" s="9">
        <v>88</v>
      </c>
      <c r="G3742" s="9">
        <v>947</v>
      </c>
      <c r="H3742" s="5" t="s">
        <v>21</v>
      </c>
      <c r="I3742" s="5" t="s">
        <v>9348</v>
      </c>
      <c r="J3742" s="12" t="str">
        <f>HYPERLINK("https://www.boe.es/gazeta/dias/1803/11/01/pdfs/GMD-1803-88.pdf#page=7","Abrir facsímil")</f>
        <v>Abrir facsímil</v>
      </c>
      <c r="K3742" s="15" t="s">
        <v>23</v>
      </c>
    </row>
    <row r="3743" spans="1:11" ht="42" customHeight="1">
      <c r="A3743" s="4" t="s">
        <v>9349</v>
      </c>
      <c r="B3743" s="5" t="s">
        <v>9350</v>
      </c>
      <c r="C3743" s="5" t="s">
        <v>26</v>
      </c>
      <c r="D3743" s="5" t="s">
        <v>27</v>
      </c>
      <c r="E3743" s="5" t="s">
        <v>519</v>
      </c>
      <c r="F3743" s="9">
        <v>50</v>
      </c>
      <c r="G3743" s="9">
        <v>541</v>
      </c>
      <c r="H3743" s="5" t="s">
        <v>21</v>
      </c>
      <c r="I3743" s="5" t="s">
        <v>9351</v>
      </c>
      <c r="J3743" s="12" t="str">
        <f>HYPERLINK("https://www.boe.es/gazeta/dias/1803/06/24/pdfs/GMD-1803-50.pdf#page=9","Abrir facsímil")</f>
        <v>Abrir facsímil</v>
      </c>
      <c r="K3743" s="15" t="s">
        <v>23</v>
      </c>
    </row>
    <row r="3744" spans="1:11" ht="42" customHeight="1">
      <c r="A3744" s="4" t="s">
        <v>9352</v>
      </c>
      <c r="B3744" s="5" t="s">
        <v>9353</v>
      </c>
      <c r="C3744" s="5" t="s">
        <v>26</v>
      </c>
      <c r="D3744" s="5" t="s">
        <v>27</v>
      </c>
      <c r="E3744" s="5" t="s">
        <v>340</v>
      </c>
      <c r="F3744" s="9">
        <v>55</v>
      </c>
      <c r="G3744" s="9">
        <v>593</v>
      </c>
      <c r="H3744" s="5" t="s">
        <v>21</v>
      </c>
      <c r="I3744" s="5" t="s">
        <v>9354</v>
      </c>
      <c r="J3744" s="12" t="str">
        <f>HYPERLINK("https://www.boe.es/gazeta/dias/1803/07/12/pdfs/GMD-1803-55.pdf#page=1","Abrir facsímil")</f>
        <v>Abrir facsímil</v>
      </c>
      <c r="K3744" s="15" t="s">
        <v>23</v>
      </c>
    </row>
    <row r="3745" spans="1:11" ht="42" customHeight="1">
      <c r="A3745" s="4" t="s">
        <v>9355</v>
      </c>
      <c r="B3745" s="5" t="s">
        <v>9355</v>
      </c>
      <c r="C3745" s="5" t="s">
        <v>26</v>
      </c>
      <c r="D3745" s="5" t="s">
        <v>27</v>
      </c>
      <c r="E3745" s="5" t="s">
        <v>191</v>
      </c>
      <c r="F3745" s="9">
        <v>34</v>
      </c>
      <c r="G3745" s="9">
        <v>358</v>
      </c>
      <c r="H3745" s="5" t="s">
        <v>21</v>
      </c>
      <c r="I3745" s="5" t="s">
        <v>9356</v>
      </c>
      <c r="J3745" s="12" t="str">
        <f>HYPERLINK("https://www.boe.es/gazeta/dias/1803/04/29/pdfs/GMD-1803-34.pdf#page=6","Abrir facsímil")</f>
        <v>Abrir facsímil</v>
      </c>
      <c r="K3745" s="15" t="s">
        <v>23</v>
      </c>
    </row>
    <row r="3746" spans="1:11" ht="42" customHeight="1">
      <c r="A3746" s="4" t="s">
        <v>9357</v>
      </c>
      <c r="B3746" s="5" t="s">
        <v>9357</v>
      </c>
      <c r="C3746" s="5" t="s">
        <v>26</v>
      </c>
      <c r="D3746" s="5" t="s">
        <v>27</v>
      </c>
      <c r="E3746" s="5" t="s">
        <v>514</v>
      </c>
      <c r="F3746" s="9">
        <v>42</v>
      </c>
      <c r="G3746" s="9">
        <v>439</v>
      </c>
      <c r="H3746" s="5" t="s">
        <v>21</v>
      </c>
      <c r="I3746" s="5" t="s">
        <v>9358</v>
      </c>
      <c r="J3746" s="12" t="str">
        <f>HYPERLINK("https://www.boe.es/gazeta/dias/1803/05/27/pdfs/GMD-1803-42.pdf#page=7","Abrir facsímil")</f>
        <v>Abrir facsímil</v>
      </c>
      <c r="K3746" s="15" t="s">
        <v>23</v>
      </c>
    </row>
    <row r="3747" spans="1:11" ht="42" customHeight="1">
      <c r="A3747" s="4" t="s">
        <v>9359</v>
      </c>
      <c r="B3747" s="5" t="s">
        <v>9360</v>
      </c>
      <c r="C3747" s="5" t="s">
        <v>40</v>
      </c>
      <c r="D3747" s="5" t="s">
        <v>41</v>
      </c>
      <c r="E3747" s="5" t="s">
        <v>250</v>
      </c>
      <c r="F3747" s="9">
        <v>4</v>
      </c>
      <c r="G3747" s="9">
        <v>34</v>
      </c>
      <c r="H3747" s="5" t="s">
        <v>21</v>
      </c>
      <c r="I3747" s="5" t="s">
        <v>9361</v>
      </c>
      <c r="J3747" s="12" t="str">
        <f>HYPERLINK("https://www.boe.es/gazeta/dias/1803/01/14/pdfs/GMD-1803-4.pdf#page=6","Abrir facsímil")</f>
        <v>Abrir facsímil</v>
      </c>
      <c r="K3747" s="15" t="s">
        <v>23</v>
      </c>
    </row>
    <row r="3748" spans="1:11" ht="42" customHeight="1">
      <c r="A3748" s="4" t="s">
        <v>9362</v>
      </c>
      <c r="B3748" s="5" t="s">
        <v>9363</v>
      </c>
      <c r="C3748" s="5" t="s">
        <v>80</v>
      </c>
      <c r="D3748" s="5" t="s">
        <v>81</v>
      </c>
      <c r="E3748" s="5" t="s">
        <v>403</v>
      </c>
      <c r="F3748" s="9">
        <v>91</v>
      </c>
      <c r="G3748" s="9">
        <v>976</v>
      </c>
      <c r="H3748" s="5" t="s">
        <v>21</v>
      </c>
      <c r="I3748" s="5" t="s">
        <v>9364</v>
      </c>
      <c r="J3748" s="12" t="str">
        <f>HYPERLINK("https://www.boe.es/gazeta/dias/1803/11/11/pdfs/GMD-1803-91.pdf#page=8","Abrir facsímil")</f>
        <v>Abrir facsímil</v>
      </c>
      <c r="K3748" s="15" t="s">
        <v>23</v>
      </c>
    </row>
    <row r="3749" spans="1:11" ht="42" customHeight="1">
      <c r="A3749" s="4" t="s">
        <v>9365</v>
      </c>
      <c r="B3749" s="5" t="s">
        <v>9365</v>
      </c>
      <c r="C3749" s="5" t="s">
        <v>26</v>
      </c>
      <c r="D3749" s="5" t="s">
        <v>27</v>
      </c>
      <c r="E3749" s="5" t="s">
        <v>207</v>
      </c>
      <c r="F3749" s="9">
        <v>27</v>
      </c>
      <c r="G3749" s="9">
        <v>293</v>
      </c>
      <c r="H3749" s="5" t="s">
        <v>21</v>
      </c>
      <c r="I3749" s="5" t="s">
        <v>9366</v>
      </c>
      <c r="J3749" s="12" t="str">
        <f>HYPERLINK("https://www.boe.es/gazeta/dias/1803/04/05/pdfs/GMD-1803-27.pdf#page=9","Abrir facsímil")</f>
        <v>Abrir facsímil</v>
      </c>
      <c r="K3749" s="15" t="s">
        <v>23</v>
      </c>
    </row>
    <row r="3750" spans="1:11" ht="42" customHeight="1">
      <c r="A3750" s="4" t="s">
        <v>9367</v>
      </c>
      <c r="B3750" s="5" t="s">
        <v>9367</v>
      </c>
      <c r="C3750" s="5" t="s">
        <v>26</v>
      </c>
      <c r="D3750" s="5" t="s">
        <v>27</v>
      </c>
      <c r="E3750" s="5" t="s">
        <v>321</v>
      </c>
      <c r="F3750" s="9">
        <v>94</v>
      </c>
      <c r="G3750" s="9">
        <v>1010</v>
      </c>
      <c r="H3750" s="5" t="s">
        <v>21</v>
      </c>
      <c r="I3750" s="5" t="s">
        <v>9368</v>
      </c>
      <c r="J3750" s="12" t="str">
        <f>HYPERLINK("https://www.boe.es/gazeta/dias/1803/11/22/pdfs/GMD-1803-94.pdf#page=10","Abrir facsímil")</f>
        <v>Abrir facsímil</v>
      </c>
      <c r="K3750" s="15" t="s">
        <v>23</v>
      </c>
    </row>
    <row r="3751" spans="1:11" ht="42" customHeight="1">
      <c r="A3751" s="4" t="s">
        <v>9369</v>
      </c>
      <c r="B3751" s="5" t="s">
        <v>9369</v>
      </c>
      <c r="C3751" s="5" t="s">
        <v>26</v>
      </c>
      <c r="D3751" s="5" t="s">
        <v>27</v>
      </c>
      <c r="E3751" s="5" t="s">
        <v>250</v>
      </c>
      <c r="F3751" s="9">
        <v>4</v>
      </c>
      <c r="G3751" s="9">
        <v>35</v>
      </c>
      <c r="H3751" s="5" t="s">
        <v>21</v>
      </c>
      <c r="I3751" s="5" t="s">
        <v>9370</v>
      </c>
      <c r="J3751" s="12" t="str">
        <f>HYPERLINK("https://www.boe.es/gazeta/dias/1803/01/14/pdfs/GMD-1803-4.pdf#page=7","Abrir facsímil")</f>
        <v>Abrir facsímil</v>
      </c>
      <c r="K3751" s="15" t="s">
        <v>23</v>
      </c>
    </row>
    <row r="3752" spans="1:11" ht="42" customHeight="1">
      <c r="A3752" s="4" t="s">
        <v>9371</v>
      </c>
      <c r="B3752" s="5" t="s">
        <v>9372</v>
      </c>
      <c r="C3752" s="5" t="s">
        <v>51</v>
      </c>
      <c r="D3752" s="5" t="s">
        <v>52</v>
      </c>
      <c r="E3752" s="5" t="s">
        <v>160</v>
      </c>
      <c r="F3752" s="9">
        <v>81</v>
      </c>
      <c r="G3752" s="9">
        <v>871</v>
      </c>
      <c r="H3752" s="5" t="s">
        <v>21</v>
      </c>
      <c r="I3752" s="5" t="s">
        <v>9373</v>
      </c>
      <c r="J3752" s="12" t="str">
        <f>HYPERLINK("https://www.boe.es/gazeta/dias/1803/10/07/pdfs/GMD-1803-81.pdf#page=7","Abrir facsímil")</f>
        <v>Abrir facsímil</v>
      </c>
      <c r="K3752" s="15" t="s">
        <v>23</v>
      </c>
    </row>
    <row r="3753" spans="1:11" ht="42" customHeight="1">
      <c r="A3753" s="4" t="s">
        <v>9374</v>
      </c>
      <c r="B3753" s="5" t="s">
        <v>9374</v>
      </c>
      <c r="C3753" s="5" t="s">
        <v>26</v>
      </c>
      <c r="D3753" s="5" t="s">
        <v>27</v>
      </c>
      <c r="E3753" s="5" t="s">
        <v>207</v>
      </c>
      <c r="F3753" s="9">
        <v>27</v>
      </c>
      <c r="G3753" s="9">
        <v>293</v>
      </c>
      <c r="H3753" s="5" t="s">
        <v>21</v>
      </c>
      <c r="I3753" s="5" t="s">
        <v>9375</v>
      </c>
      <c r="J3753" s="12" t="str">
        <f>HYPERLINK("https://www.boe.es/gazeta/dias/1803/04/05/pdfs/GMD-1803-27.pdf#page=9","Abrir facsímil")</f>
        <v>Abrir facsímil</v>
      </c>
      <c r="K3753" s="15" t="s">
        <v>23</v>
      </c>
    </row>
    <row r="3754" spans="1:11" ht="42" customHeight="1">
      <c r="A3754" s="4" t="s">
        <v>9376</v>
      </c>
      <c r="B3754" s="5" t="s">
        <v>9377</v>
      </c>
      <c r="C3754" s="5" t="s">
        <v>40</v>
      </c>
      <c r="D3754" s="5" t="s">
        <v>41</v>
      </c>
      <c r="E3754" s="5" t="s">
        <v>53</v>
      </c>
      <c r="F3754" s="9">
        <v>99</v>
      </c>
      <c r="G3754" s="9">
        <v>1054</v>
      </c>
      <c r="H3754" s="5" t="s">
        <v>21</v>
      </c>
      <c r="I3754" s="5" t="s">
        <v>9378</v>
      </c>
      <c r="J3754" s="12" t="str">
        <f>HYPERLINK("https://www.boe.es/gazeta/dias/1803/12/09/pdfs/GMD-1803-99.pdf#page=2","Abrir facsímil")</f>
        <v>Abrir facsímil</v>
      </c>
      <c r="K3754" s="15" t="s">
        <v>23</v>
      </c>
    </row>
    <row r="3755" spans="1:11" ht="42" customHeight="1">
      <c r="A3755" s="4" t="s">
        <v>9379</v>
      </c>
      <c r="B3755" s="5" t="s">
        <v>9380</v>
      </c>
      <c r="C3755" s="5" t="s">
        <v>18</v>
      </c>
      <c r="D3755" s="5" t="s">
        <v>19</v>
      </c>
      <c r="E3755" s="5" t="s">
        <v>109</v>
      </c>
      <c r="F3755" s="9">
        <v>102</v>
      </c>
      <c r="G3755" s="9">
        <v>1097</v>
      </c>
      <c r="H3755" s="5" t="s">
        <v>21</v>
      </c>
      <c r="I3755" s="5" t="s">
        <v>9381</v>
      </c>
      <c r="J3755" s="12" t="str">
        <f>HYPERLINK("https://www.boe.es/gazeta/dias/1803/12/20/pdfs/GMD-1803-102.pdf#page=9","Abrir facsímil")</f>
        <v>Abrir facsímil</v>
      </c>
      <c r="K3755" s="15" t="s">
        <v>23</v>
      </c>
    </row>
    <row r="3756" spans="1:11" ht="42" customHeight="1">
      <c r="A3756" s="4" t="s">
        <v>9382</v>
      </c>
      <c r="B3756" s="5" t="s">
        <v>9383</v>
      </c>
      <c r="C3756" s="5" t="s">
        <v>40</v>
      </c>
      <c r="D3756" s="5" t="s">
        <v>41</v>
      </c>
      <c r="E3756" s="5" t="s">
        <v>369</v>
      </c>
      <c r="F3756" s="9">
        <v>100</v>
      </c>
      <c r="G3756" s="9">
        <v>1065</v>
      </c>
      <c r="H3756" s="5" t="s">
        <v>21</v>
      </c>
      <c r="I3756" s="5" t="s">
        <v>9384</v>
      </c>
      <c r="J3756" s="12" t="str">
        <f>HYPERLINK("https://www.boe.es/gazeta/dias/1803/12/13/pdfs/GMD-1803-100.pdf#page=1","Abrir facsímil")</f>
        <v>Abrir facsímil</v>
      </c>
      <c r="K3756" s="15" t="s">
        <v>23</v>
      </c>
    </row>
    <row r="3757" spans="1:11" ht="42" customHeight="1">
      <c r="A3757" s="4" t="s">
        <v>9385</v>
      </c>
      <c r="B3757" s="5" t="s">
        <v>9386</v>
      </c>
      <c r="C3757" s="5" t="s">
        <v>874</v>
      </c>
      <c r="D3757" s="5" t="s">
        <v>875</v>
      </c>
      <c r="E3757" s="5" t="s">
        <v>480</v>
      </c>
      <c r="F3757" s="9">
        <v>87</v>
      </c>
      <c r="G3757" s="9" t="s">
        <v>876</v>
      </c>
      <c r="H3757" s="5" t="s">
        <v>21</v>
      </c>
      <c r="I3757" s="5" t="s">
        <v>9387</v>
      </c>
      <c r="J3757" s="12" t="str">
        <f>HYPERLINK("https://www.boe.es/gazeta/dias/1803/10/28/pdfs/GMD-C-1803-87.pdf#page=1","Abrir facsímil")</f>
        <v>Abrir facsímil</v>
      </c>
      <c r="K3757" s="15" t="s">
        <v>23</v>
      </c>
    </row>
    <row r="3758" spans="1:11" ht="42" customHeight="1">
      <c r="A3758" s="4" t="s">
        <v>9388</v>
      </c>
      <c r="B3758" s="5" t="s">
        <v>9389</v>
      </c>
      <c r="C3758" s="5" t="s">
        <v>26</v>
      </c>
      <c r="D3758" s="5" t="s">
        <v>27</v>
      </c>
      <c r="E3758" s="5" t="s">
        <v>88</v>
      </c>
      <c r="F3758" s="9">
        <v>18</v>
      </c>
      <c r="G3758" s="9">
        <v>188</v>
      </c>
      <c r="H3758" s="5" t="s">
        <v>21</v>
      </c>
      <c r="I3758" s="5" t="s">
        <v>9390</v>
      </c>
      <c r="J3758" s="12" t="str">
        <f>HYPERLINK("https://www.boe.es/gazeta/dias/1803/03/04/pdfs/GMD-1803-18.pdf#page=8","Abrir facsímil")</f>
        <v>Abrir facsímil</v>
      </c>
      <c r="K3758" s="15" t="s">
        <v>23</v>
      </c>
    </row>
    <row r="3759" spans="1:11" ht="42" customHeight="1">
      <c r="A3759" s="4" t="s">
        <v>9391</v>
      </c>
      <c r="B3759" s="5" t="s">
        <v>9391</v>
      </c>
      <c r="C3759" s="5" t="s">
        <v>26</v>
      </c>
      <c r="D3759" s="5" t="s">
        <v>27</v>
      </c>
      <c r="E3759" s="5" t="s">
        <v>395</v>
      </c>
      <c r="F3759" s="9">
        <v>13</v>
      </c>
      <c r="G3759" s="9">
        <v>136</v>
      </c>
      <c r="H3759" s="5" t="s">
        <v>21</v>
      </c>
      <c r="I3759" s="5" t="s">
        <v>9392</v>
      </c>
      <c r="J3759" s="12" t="str">
        <f>HYPERLINK("https://www.boe.es/gazeta/dias/1803/02/15/pdfs/GMD-1803-13.pdf#page=12","Abrir facsímil")</f>
        <v>Abrir facsímil</v>
      </c>
      <c r="K3759" s="15" t="s">
        <v>23</v>
      </c>
    </row>
    <row r="3760" spans="1:11" ht="42" customHeight="1">
      <c r="A3760" s="4" t="s">
        <v>9391</v>
      </c>
      <c r="B3760" s="5" t="s">
        <v>9391</v>
      </c>
      <c r="C3760" s="5" t="s">
        <v>26</v>
      </c>
      <c r="D3760" s="5" t="s">
        <v>27</v>
      </c>
      <c r="E3760" s="5" t="s">
        <v>113</v>
      </c>
      <c r="F3760" s="9">
        <v>93</v>
      </c>
      <c r="G3760" s="9">
        <v>999</v>
      </c>
      <c r="H3760" s="5" t="s">
        <v>21</v>
      </c>
      <c r="I3760" s="5" t="s">
        <v>9393</v>
      </c>
      <c r="J3760" s="12" t="str">
        <f>HYPERLINK("https://www.boe.es/gazeta/dias/1803/11/18/pdfs/GMD-1803-93.pdf#page=11","Abrir facsímil")</f>
        <v>Abrir facsímil</v>
      </c>
      <c r="K3760" s="15" t="s">
        <v>23</v>
      </c>
    </row>
    <row r="3761" spans="1:11" ht="42" customHeight="1">
      <c r="A3761" s="4" t="s">
        <v>9394</v>
      </c>
      <c r="B3761" s="5" t="s">
        <v>9395</v>
      </c>
      <c r="C3761" s="5" t="s">
        <v>40</v>
      </c>
      <c r="D3761" s="5" t="s">
        <v>41</v>
      </c>
      <c r="E3761" s="5" t="s">
        <v>152</v>
      </c>
      <c r="F3761" s="9">
        <v>16</v>
      </c>
      <c r="G3761" s="9">
        <v>164</v>
      </c>
      <c r="H3761" s="5" t="s">
        <v>21</v>
      </c>
      <c r="I3761" s="5" t="s">
        <v>9396</v>
      </c>
      <c r="J3761" s="12" t="str">
        <f>HYPERLINK("https://www.boe.es/gazeta/dias/1803/02/25/pdfs/GMD-1803-16.pdf#page=4","Abrir facsímil")</f>
        <v>Abrir facsímil</v>
      </c>
      <c r="K3761" s="15" t="s">
        <v>23</v>
      </c>
    </row>
    <row r="3762" spans="1:11" ht="42" customHeight="1">
      <c r="A3762" s="4" t="s">
        <v>9397</v>
      </c>
      <c r="B3762" s="5" t="s">
        <v>9398</v>
      </c>
      <c r="C3762" s="5" t="s">
        <v>51</v>
      </c>
      <c r="D3762" s="5" t="s">
        <v>52</v>
      </c>
      <c r="E3762" s="5" t="s">
        <v>317</v>
      </c>
      <c r="F3762" s="9">
        <v>12</v>
      </c>
      <c r="G3762" s="9">
        <v>120</v>
      </c>
      <c r="H3762" s="5" t="s">
        <v>21</v>
      </c>
      <c r="I3762" s="5" t="s">
        <v>9399</v>
      </c>
      <c r="J3762" s="12" t="str">
        <f>HYPERLINK("https://www.boe.es/gazeta/dias/1803/02/11/pdfs/GMD-1803-12.pdf#page=8","Abrir facsímil")</f>
        <v>Abrir facsímil</v>
      </c>
      <c r="K3762" s="15" t="s">
        <v>23</v>
      </c>
    </row>
    <row r="3763" spans="1:11" ht="42" customHeight="1">
      <c r="A3763" s="4" t="s">
        <v>9397</v>
      </c>
      <c r="B3763" s="5" t="s">
        <v>9398</v>
      </c>
      <c r="C3763" s="5" t="s">
        <v>51</v>
      </c>
      <c r="D3763" s="5" t="s">
        <v>52</v>
      </c>
      <c r="E3763" s="5" t="s">
        <v>174</v>
      </c>
      <c r="F3763" s="9">
        <v>21</v>
      </c>
      <c r="G3763" s="9">
        <v>222</v>
      </c>
      <c r="H3763" s="5" t="s">
        <v>21</v>
      </c>
      <c r="I3763" s="5" t="s">
        <v>9400</v>
      </c>
      <c r="J3763" s="12" t="str">
        <f>HYPERLINK("https://www.boe.es/gazeta/dias/1803/03/15/pdfs/GMD-1803-21.pdf#page=6","Abrir facsímil")</f>
        <v>Abrir facsímil</v>
      </c>
      <c r="K3763" s="15" t="s">
        <v>23</v>
      </c>
    </row>
    <row r="3764" spans="1:11" ht="42" customHeight="1">
      <c r="A3764" s="4" t="s">
        <v>9397</v>
      </c>
      <c r="B3764" s="5" t="s">
        <v>9398</v>
      </c>
      <c r="C3764" s="5" t="s">
        <v>40</v>
      </c>
      <c r="D3764" s="5" t="s">
        <v>41</v>
      </c>
      <c r="E3764" s="5" t="s">
        <v>369</v>
      </c>
      <c r="F3764" s="9">
        <v>100</v>
      </c>
      <c r="G3764" s="9">
        <v>1071</v>
      </c>
      <c r="H3764" s="5" t="s">
        <v>21</v>
      </c>
      <c r="I3764" s="5" t="s">
        <v>9401</v>
      </c>
      <c r="J3764" s="12" t="str">
        <f>HYPERLINK("https://www.boe.es/gazeta/dias/1803/12/13/pdfs/GMD-1803-100.pdf#page=7","Abrir facsímil")</f>
        <v>Abrir facsímil</v>
      </c>
      <c r="K3764" s="15" t="s">
        <v>23</v>
      </c>
    </row>
    <row r="3765" spans="1:11" ht="42" customHeight="1">
      <c r="A3765" s="4" t="s">
        <v>9402</v>
      </c>
      <c r="B3765" s="5" t="s">
        <v>9403</v>
      </c>
      <c r="C3765" s="5" t="s">
        <v>26</v>
      </c>
      <c r="D3765" s="5" t="s">
        <v>27</v>
      </c>
      <c r="E3765" s="5" t="s">
        <v>191</v>
      </c>
      <c r="F3765" s="9">
        <v>34</v>
      </c>
      <c r="G3765" s="9">
        <v>358</v>
      </c>
      <c r="H3765" s="5" t="s">
        <v>21</v>
      </c>
      <c r="I3765" s="5" t="s">
        <v>9404</v>
      </c>
      <c r="J3765" s="12" t="str">
        <f>HYPERLINK("https://www.boe.es/gazeta/dias/1803/04/29/pdfs/GMD-1803-34.pdf#page=6","Abrir facsímil")</f>
        <v>Abrir facsímil</v>
      </c>
      <c r="K3765" s="15" t="s">
        <v>23</v>
      </c>
    </row>
    <row r="3766" spans="1:11" ht="42" customHeight="1">
      <c r="A3766" s="4" t="s">
        <v>9405</v>
      </c>
      <c r="B3766" s="5" t="s">
        <v>9406</v>
      </c>
      <c r="C3766" s="5" t="s">
        <v>26</v>
      </c>
      <c r="D3766" s="5" t="s">
        <v>27</v>
      </c>
      <c r="E3766" s="5" t="s">
        <v>407</v>
      </c>
      <c r="F3766" s="9">
        <v>82</v>
      </c>
      <c r="G3766" s="9">
        <v>881</v>
      </c>
      <c r="H3766" s="5" t="s">
        <v>21</v>
      </c>
      <c r="I3766" s="5" t="s">
        <v>9407</v>
      </c>
      <c r="J3766" s="12" t="str">
        <f>HYPERLINK("https://www.boe.es/gazeta/dias/1803/10/11/pdfs/GMD-1803-82.pdf#page=5","Abrir facsímil")</f>
        <v>Abrir facsímil</v>
      </c>
      <c r="K3766" s="15" t="s">
        <v>23</v>
      </c>
    </row>
    <row r="3767" spans="1:11" ht="42" customHeight="1">
      <c r="A3767" s="4" t="s">
        <v>9408</v>
      </c>
      <c r="B3767" s="5" t="s">
        <v>9409</v>
      </c>
      <c r="C3767" s="5" t="s">
        <v>40</v>
      </c>
      <c r="D3767" s="5" t="s">
        <v>41</v>
      </c>
      <c r="E3767" s="5" t="s">
        <v>1915</v>
      </c>
      <c r="F3767" s="9">
        <v>44</v>
      </c>
      <c r="G3767" s="9">
        <v>455</v>
      </c>
      <c r="H3767" s="5" t="s">
        <v>21</v>
      </c>
      <c r="I3767" s="5" t="s">
        <v>9410</v>
      </c>
      <c r="J3767" s="12" t="str">
        <f>HYPERLINK("https://www.boe.es/gazeta/dias/1803/06/03/pdfs/GMD-1803-44.pdf#page=3","Abrir facsímil")</f>
        <v>Abrir facsímil</v>
      </c>
      <c r="K3767" s="15" t="s">
        <v>23</v>
      </c>
    </row>
    <row r="3768" spans="1:11" ht="42" customHeight="1">
      <c r="A3768" s="4" t="s">
        <v>9411</v>
      </c>
      <c r="B3768" s="5" t="s">
        <v>9412</v>
      </c>
      <c r="C3768" s="5" t="s">
        <v>40</v>
      </c>
      <c r="D3768" s="5" t="s">
        <v>41</v>
      </c>
      <c r="E3768" s="5" t="s">
        <v>132</v>
      </c>
      <c r="F3768" s="9">
        <v>58</v>
      </c>
      <c r="G3768" s="9">
        <v>639</v>
      </c>
      <c r="H3768" s="5" t="s">
        <v>21</v>
      </c>
      <c r="I3768" s="5" t="s">
        <v>9413</v>
      </c>
      <c r="J3768" s="12" t="str">
        <f>HYPERLINK("https://www.boe.es/gazeta/dias/1803/07/22/pdfs/GMD-1803-58.pdf#page=11","Abrir facsímil")</f>
        <v>Abrir facsímil</v>
      </c>
      <c r="K3768" s="15" t="s">
        <v>23</v>
      </c>
    </row>
    <row r="3769" spans="1:11" ht="42" customHeight="1">
      <c r="A3769" s="4" t="s">
        <v>9414</v>
      </c>
      <c r="B3769" s="5" t="s">
        <v>9414</v>
      </c>
      <c r="C3769" s="5" t="s">
        <v>8461</v>
      </c>
      <c r="D3769" s="5" t="s">
        <v>8462</v>
      </c>
      <c r="E3769" s="5" t="s">
        <v>442</v>
      </c>
      <c r="F3769" s="9" t="s">
        <v>443</v>
      </c>
      <c r="G3769" s="9">
        <v>794</v>
      </c>
      <c r="H3769" s="5" t="s">
        <v>21</v>
      </c>
      <c r="I3769" s="5" t="s">
        <v>9415</v>
      </c>
      <c r="J3769" s="12" t="str">
        <f>HYPERLINK("https://www.boe.es/gazeta/dias/1803/09/12/pdfs/GMD-1803-73E.pdf#page=6","Abrir facsímil")</f>
        <v>Abrir facsímil</v>
      </c>
      <c r="K3769" s="15" t="s">
        <v>23</v>
      </c>
    </row>
    <row r="3770" spans="1:11" ht="42" customHeight="1">
      <c r="A3770" s="4" t="s">
        <v>9416</v>
      </c>
      <c r="B3770" s="5" t="s">
        <v>9417</v>
      </c>
      <c r="C3770" s="5" t="s">
        <v>26</v>
      </c>
      <c r="D3770" s="5" t="s">
        <v>27</v>
      </c>
      <c r="E3770" s="5" t="s">
        <v>514</v>
      </c>
      <c r="F3770" s="9">
        <v>42</v>
      </c>
      <c r="G3770" s="9">
        <v>439</v>
      </c>
      <c r="H3770" s="5" t="s">
        <v>21</v>
      </c>
      <c r="I3770" s="5" t="s">
        <v>9418</v>
      </c>
      <c r="J3770" s="12" t="str">
        <f>HYPERLINK("https://www.boe.es/gazeta/dias/1803/05/27/pdfs/GMD-1803-42.pdf#page=7","Abrir facsímil")</f>
        <v>Abrir facsímil</v>
      </c>
      <c r="K3770" s="15" t="s">
        <v>23</v>
      </c>
    </row>
    <row r="3771" spans="1:11" ht="42" customHeight="1">
      <c r="A3771" s="4" t="s">
        <v>9419</v>
      </c>
      <c r="B3771" s="5" t="s">
        <v>9420</v>
      </c>
      <c r="C3771" s="5" t="s">
        <v>26</v>
      </c>
      <c r="D3771" s="5" t="s">
        <v>27</v>
      </c>
      <c r="E3771" s="5" t="s">
        <v>272</v>
      </c>
      <c r="F3771" s="9">
        <v>25</v>
      </c>
      <c r="G3771" s="9">
        <v>266</v>
      </c>
      <c r="H3771" s="5" t="s">
        <v>21</v>
      </c>
      <c r="I3771" s="5" t="s">
        <v>9421</v>
      </c>
      <c r="J3771" s="12" t="str">
        <f>HYPERLINK("https://www.boe.es/gazeta/dias/1803/03/29/pdfs/GMD-1803-25.pdf#page=6","Abrir facsímil")</f>
        <v>Abrir facsímil</v>
      </c>
      <c r="K3771" s="15" t="s">
        <v>23</v>
      </c>
    </row>
    <row r="3772" spans="1:11" ht="42" customHeight="1">
      <c r="A3772" s="4" t="s">
        <v>9422</v>
      </c>
      <c r="B3772" s="5" t="s">
        <v>9423</v>
      </c>
      <c r="C3772" s="5" t="s">
        <v>26</v>
      </c>
      <c r="D3772" s="5" t="s">
        <v>27</v>
      </c>
      <c r="E3772" s="5" t="s">
        <v>178</v>
      </c>
      <c r="F3772" s="9">
        <v>36</v>
      </c>
      <c r="G3772" s="9">
        <v>375</v>
      </c>
      <c r="H3772" s="5" t="s">
        <v>21</v>
      </c>
      <c r="I3772" s="5" t="s">
        <v>9424</v>
      </c>
      <c r="J3772" s="12" t="str">
        <f>HYPERLINK("https://www.boe.es/gazeta/dias/1803/05/06/pdfs/GMD-1803-36.pdf#page=7","Abrir facsímil")</f>
        <v>Abrir facsímil</v>
      </c>
      <c r="K3772" s="15" t="s">
        <v>23</v>
      </c>
    </row>
    <row r="3773" spans="1:11" ht="42" customHeight="1">
      <c r="A3773" s="4" t="s">
        <v>9425</v>
      </c>
      <c r="B3773" s="5" t="s">
        <v>9426</v>
      </c>
      <c r="C3773" s="5" t="s">
        <v>26</v>
      </c>
      <c r="D3773" s="5" t="s">
        <v>27</v>
      </c>
      <c r="E3773" s="5" t="s">
        <v>361</v>
      </c>
      <c r="F3773" s="9">
        <v>62</v>
      </c>
      <c r="G3773" s="9">
        <v>675</v>
      </c>
      <c r="H3773" s="5" t="s">
        <v>21</v>
      </c>
      <c r="I3773" s="5" t="s">
        <v>9427</v>
      </c>
      <c r="J3773" s="12" t="str">
        <f>HYPERLINK("https://www.boe.es/gazeta/dias/1803/08/05/pdfs/GMD-1803-62.pdf#page=7","Abrir facsímil")</f>
        <v>Abrir facsímil</v>
      </c>
      <c r="K3773" s="15" t="s">
        <v>23</v>
      </c>
    </row>
    <row r="3774" spans="1:11" ht="42" customHeight="1">
      <c r="A3774" s="4" t="s">
        <v>9428</v>
      </c>
      <c r="B3774" s="5" t="s">
        <v>9429</v>
      </c>
      <c r="C3774" s="5" t="s">
        <v>51</v>
      </c>
      <c r="D3774" s="5" t="s">
        <v>52</v>
      </c>
      <c r="E3774" s="5" t="s">
        <v>152</v>
      </c>
      <c r="F3774" s="9">
        <v>16</v>
      </c>
      <c r="G3774" s="9">
        <v>166</v>
      </c>
      <c r="H3774" s="5" t="s">
        <v>21</v>
      </c>
      <c r="I3774" s="5" t="s">
        <v>9430</v>
      </c>
      <c r="J3774" s="12" t="str">
        <f>HYPERLINK("https://www.boe.es/gazeta/dias/1803/02/25/pdfs/GMD-1803-16.pdf#page=6","Abrir facsímil")</f>
        <v>Abrir facsímil</v>
      </c>
      <c r="K3774" s="15" t="s">
        <v>23</v>
      </c>
    </row>
    <row r="3775" spans="1:11" ht="42" customHeight="1">
      <c r="A3775" s="4" t="s">
        <v>9431</v>
      </c>
      <c r="B3775" s="5" t="s">
        <v>9432</v>
      </c>
      <c r="C3775" s="5" t="s">
        <v>46</v>
      </c>
      <c r="D3775" s="5" t="s">
        <v>19</v>
      </c>
      <c r="E3775" s="5" t="s">
        <v>231</v>
      </c>
      <c r="F3775" s="9">
        <v>26</v>
      </c>
      <c r="G3775" s="9">
        <v>283</v>
      </c>
      <c r="H3775" s="5" t="s">
        <v>21</v>
      </c>
      <c r="I3775" s="5" t="s">
        <v>9433</v>
      </c>
      <c r="J3775" s="12" t="str">
        <f>HYPERLINK("https://www.boe.es/gazeta/dias/1803/04/01/pdfs/GMD-1803-26.pdf#page=11","Abrir facsímil")</f>
        <v>Abrir facsímil</v>
      </c>
      <c r="K3775" s="15" t="s">
        <v>23</v>
      </c>
    </row>
    <row r="3776" spans="1:11" ht="42" customHeight="1">
      <c r="A3776" s="4" t="s">
        <v>9434</v>
      </c>
      <c r="B3776" s="5" t="s">
        <v>9434</v>
      </c>
      <c r="C3776" s="5" t="s">
        <v>26</v>
      </c>
      <c r="D3776" s="5" t="s">
        <v>27</v>
      </c>
      <c r="E3776" s="5" t="s">
        <v>300</v>
      </c>
      <c r="F3776" s="9">
        <v>96</v>
      </c>
      <c r="G3776" s="9">
        <v>1031</v>
      </c>
      <c r="H3776" s="5" t="s">
        <v>21</v>
      </c>
      <c r="I3776" s="5" t="s">
        <v>9435</v>
      </c>
      <c r="J3776" s="12" t="str">
        <f>HYPERLINK("https://www.boe.es/gazeta/dias/1803/11/29/pdfs/GMD-1803-96.pdf#page=7","Abrir facsímil")</f>
        <v>Abrir facsímil</v>
      </c>
      <c r="K3776" s="15" t="s">
        <v>23</v>
      </c>
    </row>
    <row r="3777" spans="1:11" ht="42" customHeight="1">
      <c r="A3777" s="4" t="s">
        <v>9436</v>
      </c>
      <c r="B3777" s="5" t="s">
        <v>9437</v>
      </c>
      <c r="C3777" s="5" t="s">
        <v>26</v>
      </c>
      <c r="D3777" s="5" t="s">
        <v>27</v>
      </c>
      <c r="E3777" s="5" t="s">
        <v>132</v>
      </c>
      <c r="F3777" s="9">
        <v>58</v>
      </c>
      <c r="G3777" s="9">
        <v>639</v>
      </c>
      <c r="H3777" s="5" t="s">
        <v>21</v>
      </c>
      <c r="I3777" s="5" t="s">
        <v>9438</v>
      </c>
      <c r="J3777" s="12" t="str">
        <f>HYPERLINK("https://www.boe.es/gazeta/dias/1803/07/22/pdfs/GMD-1803-58.pdf#page=11","Abrir facsímil")</f>
        <v>Abrir facsímil</v>
      </c>
      <c r="K3777" s="15" t="s">
        <v>23</v>
      </c>
    </row>
    <row r="3778" spans="1:11" ht="42" customHeight="1">
      <c r="A3778" s="4" t="s">
        <v>9439</v>
      </c>
      <c r="B3778" s="5" t="s">
        <v>9440</v>
      </c>
      <c r="C3778" s="5" t="s">
        <v>26</v>
      </c>
      <c r="D3778" s="5" t="s">
        <v>27</v>
      </c>
      <c r="E3778" s="5" t="s">
        <v>328</v>
      </c>
      <c r="F3778" s="9">
        <v>54</v>
      </c>
      <c r="G3778" s="9">
        <v>590</v>
      </c>
      <c r="H3778" s="5" t="s">
        <v>21</v>
      </c>
      <c r="I3778" s="5" t="s">
        <v>9441</v>
      </c>
      <c r="J3778" s="12" t="str">
        <f>HYPERLINK("https://www.boe.es/gazeta/dias/1803/07/08/pdfs/GMD-1803-54.pdf#page=10","Abrir facsímil")</f>
        <v>Abrir facsímil</v>
      </c>
      <c r="K3778" s="15" t="s">
        <v>23</v>
      </c>
    </row>
    <row r="3779" spans="1:11" ht="42" customHeight="1">
      <c r="A3779" s="4" t="s">
        <v>9442</v>
      </c>
      <c r="B3779" s="5" t="s">
        <v>9443</v>
      </c>
      <c r="C3779" s="5" t="s">
        <v>26</v>
      </c>
      <c r="D3779" s="5" t="s">
        <v>27</v>
      </c>
      <c r="E3779" s="5" t="s">
        <v>328</v>
      </c>
      <c r="F3779" s="9">
        <v>54</v>
      </c>
      <c r="G3779" s="9">
        <v>588</v>
      </c>
      <c r="H3779" s="5" t="s">
        <v>21</v>
      </c>
      <c r="I3779" s="5" t="s">
        <v>9444</v>
      </c>
      <c r="J3779" s="12" t="str">
        <f>HYPERLINK("https://www.boe.es/gazeta/dias/1803/07/08/pdfs/GMD-1803-54.pdf#page=8","Abrir facsímil")</f>
        <v>Abrir facsímil</v>
      </c>
      <c r="K3779" s="15" t="s">
        <v>23</v>
      </c>
    </row>
    <row r="3780" spans="1:11" ht="42" customHeight="1">
      <c r="A3780" s="4" t="s">
        <v>9445</v>
      </c>
      <c r="B3780" s="5" t="s">
        <v>9446</v>
      </c>
      <c r="C3780" s="5" t="s">
        <v>26</v>
      </c>
      <c r="D3780" s="5" t="s">
        <v>27</v>
      </c>
      <c r="E3780" s="5" t="s">
        <v>32</v>
      </c>
      <c r="F3780" s="9">
        <v>74</v>
      </c>
      <c r="G3780" s="9">
        <v>802</v>
      </c>
      <c r="H3780" s="5" t="s">
        <v>21</v>
      </c>
      <c r="I3780" s="5" t="s">
        <v>9447</v>
      </c>
      <c r="J3780" s="12" t="str">
        <f>HYPERLINK("https://www.boe.es/gazeta/dias/1803/09/13/pdfs/GMD-1803-74.pdf#page=6","Abrir facsímil")</f>
        <v>Abrir facsímil</v>
      </c>
      <c r="K3780" s="15" t="s">
        <v>23</v>
      </c>
    </row>
    <row r="3781" spans="1:11" ht="42" customHeight="1">
      <c r="A3781" s="4" t="s">
        <v>9448</v>
      </c>
      <c r="B3781" s="5" t="s">
        <v>9449</v>
      </c>
      <c r="C3781" s="5" t="s">
        <v>18</v>
      </c>
      <c r="D3781" s="5" t="s">
        <v>19</v>
      </c>
      <c r="E3781" s="5" t="s">
        <v>399</v>
      </c>
      <c r="F3781" s="9">
        <v>95</v>
      </c>
      <c r="G3781" s="9">
        <v>1017</v>
      </c>
      <c r="H3781" s="5" t="s">
        <v>21</v>
      </c>
      <c r="I3781" s="5" t="s">
        <v>9450</v>
      </c>
      <c r="J3781" s="12" t="str">
        <f>HYPERLINK("https://www.boe.es/gazeta/dias/1803/11/25/pdfs/GMD-1803-95.pdf#page=5","Abrir facsímil")</f>
        <v>Abrir facsímil</v>
      </c>
      <c r="K3781" s="15" t="s">
        <v>23</v>
      </c>
    </row>
    <row r="3782" spans="1:11" ht="42" customHeight="1">
      <c r="A3782" s="4" t="s">
        <v>9451</v>
      </c>
      <c r="B3782" s="5" t="s">
        <v>9452</v>
      </c>
      <c r="C3782" s="5" t="s">
        <v>26</v>
      </c>
      <c r="D3782" s="5" t="s">
        <v>27</v>
      </c>
      <c r="E3782" s="5" t="s">
        <v>102</v>
      </c>
      <c r="F3782" s="9">
        <v>31</v>
      </c>
      <c r="G3782" s="9">
        <v>326</v>
      </c>
      <c r="H3782" s="5" t="s">
        <v>21</v>
      </c>
      <c r="I3782" s="5" t="s">
        <v>9453</v>
      </c>
      <c r="J3782" s="12" t="str">
        <f>HYPERLINK("https://www.boe.es/gazeta/dias/1803/04/19/pdfs/GMD-1803-31.pdf#page=6","Abrir facsímil")</f>
        <v>Abrir facsímil</v>
      </c>
      <c r="K3782" s="15" t="s">
        <v>23</v>
      </c>
    </row>
    <row r="3783" spans="1:11" ht="42" customHeight="1">
      <c r="A3783" s="4" t="s">
        <v>9454</v>
      </c>
      <c r="B3783" s="5" t="s">
        <v>9455</v>
      </c>
      <c r="C3783" s="5" t="s">
        <v>26</v>
      </c>
      <c r="D3783" s="5" t="s">
        <v>27</v>
      </c>
      <c r="E3783" s="5" t="s">
        <v>332</v>
      </c>
      <c r="F3783" s="9">
        <v>11</v>
      </c>
      <c r="G3783" s="9">
        <v>110</v>
      </c>
      <c r="H3783" s="5" t="s">
        <v>21</v>
      </c>
      <c r="I3783" s="5" t="s">
        <v>9456</v>
      </c>
      <c r="J3783" s="12" t="str">
        <f>HYPERLINK("https://www.boe.es/gazeta/dias/1803/02/08/pdfs/GMD-1803-11.pdf#page=6","Abrir facsímil")</f>
        <v>Abrir facsímil</v>
      </c>
      <c r="K3783" s="15" t="s">
        <v>23</v>
      </c>
    </row>
    <row r="3784" spans="1:11" ht="42" customHeight="1">
      <c r="A3784" s="4" t="s">
        <v>9457</v>
      </c>
      <c r="B3784" s="5" t="s">
        <v>9458</v>
      </c>
      <c r="C3784" s="5" t="s">
        <v>80</v>
      </c>
      <c r="D3784" s="5" t="s">
        <v>81</v>
      </c>
      <c r="E3784" s="5" t="s">
        <v>231</v>
      </c>
      <c r="F3784" s="9">
        <v>26</v>
      </c>
      <c r="G3784" s="9">
        <v>283</v>
      </c>
      <c r="H3784" s="5" t="s">
        <v>21</v>
      </c>
      <c r="I3784" s="5" t="s">
        <v>9459</v>
      </c>
      <c r="J3784" s="12" t="str">
        <f>HYPERLINK("https://www.boe.es/gazeta/dias/1803/04/01/pdfs/GMD-1803-26.pdf#page=11","Abrir facsímil")</f>
        <v>Abrir facsímil</v>
      </c>
      <c r="K3784" s="15" t="s">
        <v>23</v>
      </c>
    </row>
    <row r="3785" spans="1:11" ht="42" customHeight="1">
      <c r="A3785" s="4" t="s">
        <v>9460</v>
      </c>
      <c r="B3785" s="5" t="s">
        <v>9460</v>
      </c>
      <c r="C3785" s="5" t="s">
        <v>80</v>
      </c>
      <c r="D3785" s="5" t="s">
        <v>81</v>
      </c>
      <c r="E3785" s="5" t="s">
        <v>369</v>
      </c>
      <c r="F3785" s="9">
        <v>100</v>
      </c>
      <c r="G3785" s="9">
        <v>1068</v>
      </c>
      <c r="H3785" s="5" t="s">
        <v>21</v>
      </c>
      <c r="I3785" s="5" t="s">
        <v>9461</v>
      </c>
      <c r="J3785" s="12" t="str">
        <f>HYPERLINK("https://www.boe.es/gazeta/dias/1803/12/13/pdfs/GMD-1803-100.pdf#page=4","Abrir facsímil")</f>
        <v>Abrir facsímil</v>
      </c>
      <c r="K3785" s="15" t="s">
        <v>23</v>
      </c>
    </row>
    <row r="3786" spans="1:11" ht="42" customHeight="1">
      <c r="A3786" s="4" t="s">
        <v>9462</v>
      </c>
      <c r="B3786" s="5" t="s">
        <v>9463</v>
      </c>
      <c r="C3786" s="5" t="s">
        <v>26</v>
      </c>
      <c r="D3786" s="5" t="s">
        <v>27</v>
      </c>
      <c r="E3786" s="5" t="s">
        <v>191</v>
      </c>
      <c r="F3786" s="9">
        <v>34</v>
      </c>
      <c r="G3786" s="9" t="s">
        <v>2434</v>
      </c>
      <c r="H3786" s="5" t="s">
        <v>21</v>
      </c>
      <c r="I3786" s="5" t="s">
        <v>9464</v>
      </c>
      <c r="J3786" s="12" t="str">
        <f>HYPERLINK("https://www.boe.es/gazeta/dias/1803/04/29/pdfs/GMD-C-1803-34.pdf#page=11","Abrir facsímil")</f>
        <v>Abrir facsímil</v>
      </c>
      <c r="K3786" s="15" t="s">
        <v>23</v>
      </c>
    </row>
    <row r="3787" spans="1:11" ht="42" customHeight="1">
      <c r="A3787" s="4" t="s">
        <v>9465</v>
      </c>
      <c r="B3787" s="5" t="s">
        <v>9466</v>
      </c>
      <c r="C3787" s="5" t="s">
        <v>40</v>
      </c>
      <c r="D3787" s="5" t="s">
        <v>41</v>
      </c>
      <c r="E3787" s="5" t="s">
        <v>117</v>
      </c>
      <c r="F3787" s="9">
        <v>59</v>
      </c>
      <c r="G3787" s="9">
        <v>646</v>
      </c>
      <c r="H3787" s="5" t="s">
        <v>21</v>
      </c>
      <c r="I3787" s="5" t="s">
        <v>9467</v>
      </c>
      <c r="J3787" s="12" t="str">
        <f>HYPERLINK("https://www.boe.es/gazeta/dias/1803/07/26/pdfs/GMD-1803-59.pdf#page=6","Abrir facsímil")</f>
        <v>Abrir facsímil</v>
      </c>
      <c r="K3787" s="15" t="s">
        <v>23</v>
      </c>
    </row>
    <row r="3788" spans="1:11" ht="42" customHeight="1">
      <c r="A3788" s="4" t="s">
        <v>9468</v>
      </c>
      <c r="B3788" s="5" t="s">
        <v>9469</v>
      </c>
      <c r="C3788" s="5" t="s">
        <v>26</v>
      </c>
      <c r="D3788" s="5" t="s">
        <v>27</v>
      </c>
      <c r="E3788" s="5" t="s">
        <v>519</v>
      </c>
      <c r="F3788" s="9">
        <v>50</v>
      </c>
      <c r="G3788" s="9">
        <v>541</v>
      </c>
      <c r="H3788" s="5" t="s">
        <v>21</v>
      </c>
      <c r="I3788" s="5" t="s">
        <v>9470</v>
      </c>
      <c r="J3788" s="12" t="str">
        <f>HYPERLINK("https://www.boe.es/gazeta/dias/1803/06/24/pdfs/GMD-1803-50.pdf#page=9","Abrir facsímil")</f>
        <v>Abrir facsímil</v>
      </c>
      <c r="K3788" s="15" t="s">
        <v>23</v>
      </c>
    </row>
    <row r="3789" spans="1:11" ht="42" customHeight="1">
      <c r="A3789" s="4" t="s">
        <v>9471</v>
      </c>
      <c r="B3789" s="5" t="s">
        <v>9471</v>
      </c>
      <c r="C3789" s="5" t="s">
        <v>40</v>
      </c>
      <c r="D3789" s="5" t="s">
        <v>41</v>
      </c>
      <c r="E3789" s="5" t="s">
        <v>28</v>
      </c>
      <c r="F3789" s="9">
        <v>92</v>
      </c>
      <c r="G3789" s="9">
        <v>984</v>
      </c>
      <c r="H3789" s="5" t="s">
        <v>21</v>
      </c>
      <c r="I3789" s="5" t="s">
        <v>9472</v>
      </c>
      <c r="J3789" s="12" t="str">
        <f>HYPERLINK("https://www.boe.es/gazeta/dias/1803/11/15/pdfs/GMD-1803-92.pdf#page=4","Abrir facsímil")</f>
        <v>Abrir facsímil</v>
      </c>
      <c r="K3789" s="15" t="s">
        <v>23</v>
      </c>
    </row>
    <row r="3790" spans="1:11" ht="42" customHeight="1">
      <c r="A3790" s="4" t="s">
        <v>9473</v>
      </c>
      <c r="B3790" s="5" t="s">
        <v>9473</v>
      </c>
      <c r="C3790" s="5" t="s">
        <v>40</v>
      </c>
      <c r="D3790" s="5" t="s">
        <v>41</v>
      </c>
      <c r="E3790" s="5" t="s">
        <v>1279</v>
      </c>
      <c r="F3790" s="9">
        <v>3</v>
      </c>
      <c r="G3790" s="9">
        <v>26</v>
      </c>
      <c r="H3790" s="5" t="s">
        <v>21</v>
      </c>
      <c r="I3790" s="5" t="s">
        <v>9474</v>
      </c>
      <c r="J3790" s="12" t="str">
        <f>HYPERLINK("https://www.boe.es/gazeta/dias/1803/01/11/pdfs/GMD-1803-3.pdf#page=6","Abrir facsímil")</f>
        <v>Abrir facsímil</v>
      </c>
      <c r="K3790" s="15" t="s">
        <v>23</v>
      </c>
    </row>
    <row r="3791" spans="1:11" ht="42" customHeight="1">
      <c r="A3791" s="4" t="s">
        <v>9473</v>
      </c>
      <c r="B3791" s="5" t="s">
        <v>9473</v>
      </c>
      <c r="C3791" s="5" t="s">
        <v>51</v>
      </c>
      <c r="D3791" s="5" t="s">
        <v>52</v>
      </c>
      <c r="E3791" s="5" t="s">
        <v>128</v>
      </c>
      <c r="F3791" s="9">
        <v>80</v>
      </c>
      <c r="G3791" s="9">
        <v>862</v>
      </c>
      <c r="H3791" s="5" t="s">
        <v>21</v>
      </c>
      <c r="I3791" s="5" t="s">
        <v>9475</v>
      </c>
      <c r="J3791" s="12" t="str">
        <f>HYPERLINK("https://www.boe.es/gazeta/dias/1803/10/04/pdfs/GMD-1803-80.pdf#page=6","Abrir facsímil")</f>
        <v>Abrir facsímil</v>
      </c>
      <c r="K3791" s="15" t="s">
        <v>23</v>
      </c>
    </row>
    <row r="3792" spans="1:11" ht="42" customHeight="1">
      <c r="A3792" s="4" t="s">
        <v>9473</v>
      </c>
      <c r="B3792" s="5" t="s">
        <v>9473</v>
      </c>
      <c r="C3792" s="5" t="s">
        <v>51</v>
      </c>
      <c r="D3792" s="5" t="s">
        <v>52</v>
      </c>
      <c r="E3792" s="5" t="s">
        <v>128</v>
      </c>
      <c r="F3792" s="9">
        <v>80</v>
      </c>
      <c r="G3792" s="9">
        <v>863</v>
      </c>
      <c r="H3792" s="5" t="s">
        <v>21</v>
      </c>
      <c r="I3792" s="5" t="s">
        <v>9476</v>
      </c>
      <c r="J3792" s="12" t="str">
        <f>HYPERLINK("https://www.boe.es/gazeta/dias/1803/10/04/pdfs/GMD-1803-80.pdf#page=7","Abrir facsímil")</f>
        <v>Abrir facsímil</v>
      </c>
      <c r="K3792" s="15" t="s">
        <v>23</v>
      </c>
    </row>
    <row r="3793" spans="1:11" ht="42" customHeight="1">
      <c r="A3793" s="4" t="s">
        <v>9473</v>
      </c>
      <c r="B3793" s="5" t="s">
        <v>9473</v>
      </c>
      <c r="C3793" s="5" t="s">
        <v>51</v>
      </c>
      <c r="D3793" s="5" t="s">
        <v>52</v>
      </c>
      <c r="E3793" s="5" t="s">
        <v>523</v>
      </c>
      <c r="F3793" s="9">
        <v>101</v>
      </c>
      <c r="G3793" s="9">
        <v>1077</v>
      </c>
      <c r="H3793" s="5" t="s">
        <v>21</v>
      </c>
      <c r="I3793" s="5" t="s">
        <v>9477</v>
      </c>
      <c r="J3793" s="12" t="str">
        <f>HYPERLINK("https://www.boe.es/gazeta/dias/1803/12/16/pdfs/GMD-1803-101.pdf#page=1","Abrir facsímil")</f>
        <v>Abrir facsímil</v>
      </c>
      <c r="K3793" s="15" t="s">
        <v>23</v>
      </c>
    </row>
    <row r="3794" spans="1:11" ht="42" customHeight="1">
      <c r="A3794" s="4" t="s">
        <v>9473</v>
      </c>
      <c r="B3794" s="5" t="s">
        <v>9473</v>
      </c>
      <c r="C3794" s="5" t="s">
        <v>18</v>
      </c>
      <c r="D3794" s="5" t="s">
        <v>19</v>
      </c>
      <c r="E3794" s="5" t="s">
        <v>523</v>
      </c>
      <c r="F3794" s="9">
        <v>101</v>
      </c>
      <c r="G3794" s="9">
        <v>1078</v>
      </c>
      <c r="H3794" s="5" t="s">
        <v>21</v>
      </c>
      <c r="I3794" s="5" t="s">
        <v>9478</v>
      </c>
      <c r="J3794" s="12" t="str">
        <f>HYPERLINK("https://www.boe.es/gazeta/dias/1803/12/16/pdfs/GMD-1803-101.pdf#page=2","Abrir facsímil")</f>
        <v>Abrir facsímil</v>
      </c>
      <c r="K3794" s="15" t="s">
        <v>23</v>
      </c>
    </row>
    <row r="3795" spans="1:11" ht="42" customHeight="1">
      <c r="A3795" s="4" t="s">
        <v>9479</v>
      </c>
      <c r="B3795" s="5" t="s">
        <v>9479</v>
      </c>
      <c r="C3795" s="5" t="s">
        <v>40</v>
      </c>
      <c r="D3795" s="5" t="s">
        <v>41</v>
      </c>
      <c r="E3795" s="5" t="s">
        <v>439</v>
      </c>
      <c r="F3795" s="9">
        <v>76</v>
      </c>
      <c r="G3795" s="9">
        <v>814</v>
      </c>
      <c r="H3795" s="5" t="s">
        <v>21</v>
      </c>
      <c r="I3795" s="5" t="s">
        <v>9480</v>
      </c>
      <c r="J3795" s="12" t="str">
        <f>HYPERLINK("https://www.boe.es/gazeta/dias/1803/09/20/pdfs/GMD-1803-76.pdf#page=2","Abrir facsímil")</f>
        <v>Abrir facsímil</v>
      </c>
      <c r="K3795" s="15" t="s">
        <v>23</v>
      </c>
    </row>
    <row r="3796" spans="1:11" ht="42" customHeight="1">
      <c r="A3796" s="4" t="s">
        <v>9481</v>
      </c>
      <c r="B3796" s="5" t="s">
        <v>9481</v>
      </c>
      <c r="C3796" s="5" t="s">
        <v>51</v>
      </c>
      <c r="D3796" s="5" t="s">
        <v>52</v>
      </c>
      <c r="E3796" s="5" t="s">
        <v>882</v>
      </c>
      <c r="F3796" s="9">
        <v>60</v>
      </c>
      <c r="G3796" s="9">
        <v>657</v>
      </c>
      <c r="H3796" s="5" t="s">
        <v>21</v>
      </c>
      <c r="I3796" s="5" t="s">
        <v>9482</v>
      </c>
      <c r="J3796" s="12" t="str">
        <f>HYPERLINK("https://www.boe.es/gazeta/dias/1803/07/29/pdfs/GMD-1803-60.pdf#page=9","Abrir facsímil")</f>
        <v>Abrir facsímil</v>
      </c>
      <c r="K3796" s="15" t="s">
        <v>23</v>
      </c>
    </row>
    <row r="3797" spans="1:11" ht="42" customHeight="1">
      <c r="A3797" s="4" t="s">
        <v>9483</v>
      </c>
      <c r="B3797" s="5" t="s">
        <v>9484</v>
      </c>
      <c r="C3797" s="5" t="s">
        <v>26</v>
      </c>
      <c r="D3797" s="5" t="s">
        <v>27</v>
      </c>
      <c r="E3797" s="5" t="s">
        <v>152</v>
      </c>
      <c r="F3797" s="9">
        <v>16</v>
      </c>
      <c r="G3797" s="9">
        <v>167</v>
      </c>
      <c r="H3797" s="5" t="s">
        <v>21</v>
      </c>
      <c r="I3797" s="5" t="s">
        <v>9485</v>
      </c>
      <c r="J3797" s="12" t="str">
        <f>HYPERLINK("https://www.boe.es/gazeta/dias/1803/02/25/pdfs/GMD-1803-16.pdf#page=7","Abrir facsímil")</f>
        <v>Abrir facsímil</v>
      </c>
      <c r="K3797" s="15" t="s">
        <v>23</v>
      </c>
    </row>
    <row r="3798" spans="1:11" ht="42" customHeight="1">
      <c r="A3798" s="4" t="s">
        <v>9486</v>
      </c>
      <c r="B3798" s="5" t="s">
        <v>9487</v>
      </c>
      <c r="C3798" s="5" t="s">
        <v>26</v>
      </c>
      <c r="D3798" s="5" t="s">
        <v>27</v>
      </c>
      <c r="E3798" s="5" t="s">
        <v>189</v>
      </c>
      <c r="F3798" s="9">
        <v>9</v>
      </c>
      <c r="G3798" s="9">
        <v>92</v>
      </c>
      <c r="H3798" s="5" t="s">
        <v>21</v>
      </c>
      <c r="I3798" s="5" t="s">
        <v>9488</v>
      </c>
      <c r="J3798" s="12" t="str">
        <f>HYPERLINK("https://www.boe.es/gazeta/dias/1803/02/01/pdfs/GMD-1803-9.pdf#page=8","Abrir facsímil")</f>
        <v>Abrir facsímil</v>
      </c>
      <c r="K3798" s="15" t="s">
        <v>23</v>
      </c>
    </row>
    <row r="3799" spans="1:11" ht="42" customHeight="1">
      <c r="A3799" s="4" t="s">
        <v>9489</v>
      </c>
      <c r="B3799" s="5" t="s">
        <v>9490</v>
      </c>
      <c r="C3799" s="5" t="s">
        <v>51</v>
      </c>
      <c r="D3799" s="5" t="s">
        <v>52</v>
      </c>
      <c r="E3799" s="5" t="s">
        <v>93</v>
      </c>
      <c r="F3799" s="9">
        <v>43</v>
      </c>
      <c r="G3799" s="9">
        <v>450</v>
      </c>
      <c r="H3799" s="5" t="s">
        <v>21</v>
      </c>
      <c r="I3799" s="5" t="s">
        <v>9491</v>
      </c>
      <c r="J3799" s="12" t="str">
        <f>HYPERLINK("https://www.boe.es/gazeta/dias/1803/05/31/pdfs/GMD-1803-43.pdf#page=10","Abrir facsímil")</f>
        <v>Abrir facsímil</v>
      </c>
      <c r="K3799" s="15" t="s">
        <v>23</v>
      </c>
    </row>
    <row r="3800" spans="1:11" ht="42" customHeight="1">
      <c r="A3800" s="4" t="s">
        <v>9492</v>
      </c>
      <c r="B3800" s="5" t="s">
        <v>9493</v>
      </c>
      <c r="C3800" s="5" t="s">
        <v>26</v>
      </c>
      <c r="D3800" s="5" t="s">
        <v>27</v>
      </c>
      <c r="E3800" s="5" t="s">
        <v>399</v>
      </c>
      <c r="F3800" s="9">
        <v>95</v>
      </c>
      <c r="G3800" s="9">
        <v>1017</v>
      </c>
      <c r="H3800" s="5" t="s">
        <v>21</v>
      </c>
      <c r="I3800" s="5" t="s">
        <v>9494</v>
      </c>
      <c r="J3800" s="12" t="str">
        <f>HYPERLINK("https://www.boe.es/gazeta/dias/1803/11/25/pdfs/GMD-1803-95.pdf#page=5","Abrir facsímil")</f>
        <v>Abrir facsímil</v>
      </c>
      <c r="K3800" s="15" t="s">
        <v>23</v>
      </c>
    </row>
    <row r="3801" spans="1:11" ht="42" customHeight="1">
      <c r="A3801" s="4" t="s">
        <v>9495</v>
      </c>
      <c r="B3801" s="5" t="s">
        <v>9496</v>
      </c>
      <c r="C3801" s="5" t="s">
        <v>874</v>
      </c>
      <c r="D3801" s="5" t="s">
        <v>875</v>
      </c>
      <c r="E3801" s="5" t="s">
        <v>480</v>
      </c>
      <c r="F3801" s="9">
        <v>87</v>
      </c>
      <c r="G3801" s="9" t="s">
        <v>1213</v>
      </c>
      <c r="H3801" s="5" t="s">
        <v>21</v>
      </c>
      <c r="I3801" s="5" t="s">
        <v>9497</v>
      </c>
      <c r="J3801" s="12" t="str">
        <f>HYPERLINK("https://www.boe.es/gazeta/dias/1803/10/28/pdfs/GMD-C-1803-87.pdf#page=2","Abrir facsímil")</f>
        <v>Abrir facsímil</v>
      </c>
      <c r="K3801" s="15" t="s">
        <v>23</v>
      </c>
    </row>
    <row r="3802" spans="1:11" ht="42" customHeight="1">
      <c r="A3802" s="4" t="s">
        <v>9498</v>
      </c>
      <c r="B3802" s="5" t="s">
        <v>9499</v>
      </c>
      <c r="C3802" s="5" t="s">
        <v>51</v>
      </c>
      <c r="D3802" s="5" t="s">
        <v>52</v>
      </c>
      <c r="E3802" s="5" t="s">
        <v>258</v>
      </c>
      <c r="F3802" s="9">
        <v>7</v>
      </c>
      <c r="G3802" s="9">
        <v>68</v>
      </c>
      <c r="H3802" s="5" t="s">
        <v>21</v>
      </c>
      <c r="I3802" s="5" t="s">
        <v>9500</v>
      </c>
      <c r="J3802" s="12" t="str">
        <f>HYPERLINK("https://www.boe.es/gazeta/dias/1803/01/25/pdfs/GMD-1803-7.pdf#page=8","Abrir facsímil")</f>
        <v>Abrir facsímil</v>
      </c>
      <c r="K3802" s="15" t="s">
        <v>23</v>
      </c>
    </row>
    <row r="3803" spans="1:11" ht="42" customHeight="1">
      <c r="A3803" s="4" t="s">
        <v>9498</v>
      </c>
      <c r="B3803" s="5" t="s">
        <v>9499</v>
      </c>
      <c r="C3803" s="5" t="s">
        <v>26</v>
      </c>
      <c r="D3803" s="5" t="s">
        <v>27</v>
      </c>
      <c r="E3803" s="5" t="s">
        <v>328</v>
      </c>
      <c r="F3803" s="9">
        <v>54</v>
      </c>
      <c r="G3803" s="9">
        <v>588</v>
      </c>
      <c r="H3803" s="5" t="s">
        <v>21</v>
      </c>
      <c r="I3803" s="5" t="s">
        <v>9501</v>
      </c>
      <c r="J3803" s="12" t="str">
        <f>HYPERLINK("https://www.boe.es/gazeta/dias/1803/07/08/pdfs/GMD-1803-54.pdf#page=8","Abrir facsímil")</f>
        <v>Abrir facsímil</v>
      </c>
      <c r="K3803" s="15" t="s">
        <v>23</v>
      </c>
    </row>
    <row r="3804" spans="1:11" ht="42" customHeight="1">
      <c r="A3804" s="4" t="s">
        <v>9498</v>
      </c>
      <c r="B3804" s="5" t="s">
        <v>9499</v>
      </c>
      <c r="C3804" s="5" t="s">
        <v>40</v>
      </c>
      <c r="D3804" s="5" t="s">
        <v>41</v>
      </c>
      <c r="E3804" s="5" t="s">
        <v>20</v>
      </c>
      <c r="F3804" s="9">
        <v>97</v>
      </c>
      <c r="G3804" s="9">
        <v>1039</v>
      </c>
      <c r="H3804" s="5" t="s">
        <v>21</v>
      </c>
      <c r="I3804" s="5" t="s">
        <v>9502</v>
      </c>
      <c r="J3804" s="12" t="str">
        <f>HYPERLINK("https://www.boe.es/gazeta/dias/1803/12/02/pdfs/GMD-1803-97.pdf#page=3","Abrir facsímil")</f>
        <v>Abrir facsímil</v>
      </c>
      <c r="K3804" s="15" t="s">
        <v>23</v>
      </c>
    </row>
    <row r="3805" spans="1:11" ht="42" customHeight="1">
      <c r="A3805" s="4" t="s">
        <v>9503</v>
      </c>
      <c r="B3805" s="5" t="s">
        <v>9504</v>
      </c>
      <c r="C3805" s="5" t="s">
        <v>26</v>
      </c>
      <c r="D3805" s="5" t="s">
        <v>27</v>
      </c>
      <c r="E3805" s="5" t="s">
        <v>256</v>
      </c>
      <c r="F3805" s="9">
        <v>1</v>
      </c>
      <c r="G3805" s="9">
        <v>6</v>
      </c>
      <c r="H3805" s="5" t="s">
        <v>21</v>
      </c>
      <c r="I3805" s="5" t="s">
        <v>9505</v>
      </c>
      <c r="J3805" s="12" t="str">
        <f>HYPERLINK("https://www.boe.es/gazeta/dias/1803/01/04/pdfs/GMD-1803-1.pdf#page=6","Abrir facsímil")</f>
        <v>Abrir facsímil</v>
      </c>
      <c r="K3805" s="15" t="s">
        <v>23</v>
      </c>
    </row>
    <row r="3806" spans="1:11" ht="42" customHeight="1">
      <c r="A3806" s="4" t="s">
        <v>9503</v>
      </c>
      <c r="B3806" s="5" t="s">
        <v>9504</v>
      </c>
      <c r="C3806" s="5" t="s">
        <v>26</v>
      </c>
      <c r="D3806" s="5" t="s">
        <v>27</v>
      </c>
      <c r="E3806" s="5" t="s">
        <v>313</v>
      </c>
      <c r="F3806" s="9">
        <v>14</v>
      </c>
      <c r="G3806" s="9">
        <v>140</v>
      </c>
      <c r="H3806" s="5" t="s">
        <v>21</v>
      </c>
      <c r="I3806" s="5" t="s">
        <v>9506</v>
      </c>
      <c r="J3806" s="12" t="str">
        <f>HYPERLINK("https://www.boe.es/gazeta/dias/1803/02/18/pdfs/GMD-1803-14.pdf#page=4","Abrir facsímil")</f>
        <v>Abrir facsímil</v>
      </c>
      <c r="K3806" s="15" t="s">
        <v>23</v>
      </c>
    </row>
    <row r="3807" spans="1:11" ht="42" customHeight="1">
      <c r="A3807" s="4" t="s">
        <v>9507</v>
      </c>
      <c r="B3807" s="5" t="s">
        <v>9507</v>
      </c>
      <c r="C3807" s="5" t="s">
        <v>46</v>
      </c>
      <c r="D3807" s="5" t="s">
        <v>19</v>
      </c>
      <c r="E3807" s="5" t="s">
        <v>36</v>
      </c>
      <c r="F3807" s="9">
        <v>79</v>
      </c>
      <c r="G3807" s="9">
        <v>853</v>
      </c>
      <c r="H3807" s="5" t="s">
        <v>21</v>
      </c>
      <c r="I3807" s="5" t="s">
        <v>9508</v>
      </c>
      <c r="J3807" s="12" t="str">
        <f>HYPERLINK("https://www.boe.es/gazeta/dias/1803/09/30/pdfs/GMD-1803-79.pdf#page=5","Abrir facsímil")</f>
        <v>Abrir facsímil</v>
      </c>
      <c r="K3807" s="15" t="s">
        <v>23</v>
      </c>
    </row>
    <row r="3808" spans="1:11" ht="42" customHeight="1">
      <c r="A3808" s="4" t="s">
        <v>9509</v>
      </c>
      <c r="B3808" s="5" t="s">
        <v>9509</v>
      </c>
      <c r="C3808" s="5" t="s">
        <v>51</v>
      </c>
      <c r="D3808" s="5" t="s">
        <v>52</v>
      </c>
      <c r="E3808" s="5" t="s">
        <v>657</v>
      </c>
      <c r="F3808" s="9">
        <v>24</v>
      </c>
      <c r="G3808" s="9">
        <v>256</v>
      </c>
      <c r="H3808" s="5" t="s">
        <v>21</v>
      </c>
      <c r="I3808" s="5" t="s">
        <v>9510</v>
      </c>
      <c r="J3808" s="12" t="str">
        <f>HYPERLINK("https://www.boe.es/gazeta/dias/1803/03/25/pdfs/GMD-1803-24.pdf#page=8","Abrir facsímil")</f>
        <v>Abrir facsímil</v>
      </c>
      <c r="K3808" s="15" t="s">
        <v>23</v>
      </c>
    </row>
    <row r="3809" spans="1:11" ht="42" customHeight="1">
      <c r="A3809" s="4" t="s">
        <v>9511</v>
      </c>
      <c r="B3809" s="5" t="s">
        <v>9511</v>
      </c>
      <c r="C3809" s="5" t="s">
        <v>51</v>
      </c>
      <c r="D3809" s="5" t="s">
        <v>52</v>
      </c>
      <c r="E3809" s="5" t="s">
        <v>203</v>
      </c>
      <c r="F3809" s="9">
        <v>32</v>
      </c>
      <c r="G3809" s="9">
        <v>335</v>
      </c>
      <c r="H3809" s="5" t="s">
        <v>21</v>
      </c>
      <c r="I3809" s="5" t="s">
        <v>9512</v>
      </c>
      <c r="J3809" s="12" t="str">
        <f>HYPERLINK("https://www.boe.es/gazeta/dias/1803/04/22/pdfs/GMD-1803-32.pdf#page=7","Abrir facsímil")</f>
        <v>Abrir facsímil</v>
      </c>
      <c r="K3809" s="15" t="s">
        <v>23</v>
      </c>
    </row>
    <row r="3810" spans="1:11" ht="42" customHeight="1">
      <c r="A3810" s="4" t="s">
        <v>9513</v>
      </c>
      <c r="B3810" s="5" t="s">
        <v>9513</v>
      </c>
      <c r="C3810" s="5" t="s">
        <v>26</v>
      </c>
      <c r="D3810" s="5" t="s">
        <v>27</v>
      </c>
      <c r="E3810" s="5" t="s">
        <v>32</v>
      </c>
      <c r="F3810" s="9">
        <v>74</v>
      </c>
      <c r="G3810" s="9">
        <v>803</v>
      </c>
      <c r="H3810" s="5" t="s">
        <v>21</v>
      </c>
      <c r="I3810" s="5" t="s">
        <v>9514</v>
      </c>
      <c r="J3810" s="12" t="str">
        <f>HYPERLINK("https://www.boe.es/gazeta/dias/1803/09/13/pdfs/GMD-1803-74.pdf#page=7","Abrir facsímil")</f>
        <v>Abrir facsímil</v>
      </c>
      <c r="K3810" s="15" t="s">
        <v>23</v>
      </c>
    </row>
    <row r="3811" spans="1:11" ht="42" customHeight="1">
      <c r="A3811" s="4" t="s">
        <v>9515</v>
      </c>
      <c r="B3811" s="5" t="s">
        <v>9515</v>
      </c>
      <c r="C3811" s="5" t="s">
        <v>26</v>
      </c>
      <c r="D3811" s="5" t="s">
        <v>27</v>
      </c>
      <c r="E3811" s="5" t="s">
        <v>395</v>
      </c>
      <c r="F3811" s="9">
        <v>13</v>
      </c>
      <c r="G3811" s="9">
        <v>133</v>
      </c>
      <c r="H3811" s="5" t="s">
        <v>21</v>
      </c>
      <c r="I3811" s="5" t="s">
        <v>9516</v>
      </c>
      <c r="J3811" s="12" t="str">
        <f>HYPERLINK("https://www.boe.es/gazeta/dias/1803/02/15/pdfs/GMD-1803-13.pdf#page=9","Abrir facsímil")</f>
        <v>Abrir facsímil</v>
      </c>
      <c r="K3811" s="15" t="s">
        <v>23</v>
      </c>
    </row>
    <row r="3812" spans="1:11" ht="42" customHeight="1">
      <c r="A3812" s="4" t="s">
        <v>9517</v>
      </c>
      <c r="B3812" s="5" t="s">
        <v>9518</v>
      </c>
      <c r="C3812" s="5" t="s">
        <v>26</v>
      </c>
      <c r="D3812" s="5" t="s">
        <v>27</v>
      </c>
      <c r="E3812" s="5" t="s">
        <v>289</v>
      </c>
      <c r="F3812" s="9">
        <v>38</v>
      </c>
      <c r="G3812" s="9">
        <v>402</v>
      </c>
      <c r="H3812" s="5" t="s">
        <v>21</v>
      </c>
      <c r="I3812" s="5" t="s">
        <v>9519</v>
      </c>
      <c r="J3812" s="12" t="str">
        <f>HYPERLINK("https://www.boe.es/gazeta/dias/1803/05/13/pdfs/GMD-1803-38.pdf#page=10","Abrir facsímil")</f>
        <v>Abrir facsímil</v>
      </c>
      <c r="K3812" s="15" t="s">
        <v>23</v>
      </c>
    </row>
    <row r="3813" spans="1:11" ht="42" customHeight="1">
      <c r="A3813" s="4" t="s">
        <v>9520</v>
      </c>
      <c r="B3813" s="5" t="s">
        <v>9521</v>
      </c>
      <c r="C3813" s="5" t="s">
        <v>26</v>
      </c>
      <c r="D3813" s="5" t="s">
        <v>27</v>
      </c>
      <c r="E3813" s="5" t="s">
        <v>211</v>
      </c>
      <c r="F3813" s="9">
        <v>71</v>
      </c>
      <c r="G3813" s="9">
        <v>777</v>
      </c>
      <c r="H3813" s="5" t="s">
        <v>21</v>
      </c>
      <c r="I3813" s="5" t="s">
        <v>9522</v>
      </c>
      <c r="J3813" s="12" t="str">
        <f>HYPERLINK("https://www.boe.es/gazeta/dias/1803/09/06/pdfs/GMD-1803-71.pdf#page=9","Abrir facsímil")</f>
        <v>Abrir facsímil</v>
      </c>
      <c r="K3813" s="15" t="s">
        <v>23</v>
      </c>
    </row>
    <row r="3814" spans="1:11" ht="42" customHeight="1">
      <c r="A3814" s="4" t="s">
        <v>9523</v>
      </c>
      <c r="B3814" s="5" t="s">
        <v>9524</v>
      </c>
      <c r="C3814" s="5" t="s">
        <v>18</v>
      </c>
      <c r="D3814" s="5" t="s">
        <v>19</v>
      </c>
      <c r="E3814" s="5" t="s">
        <v>293</v>
      </c>
      <c r="F3814" s="9">
        <v>45</v>
      </c>
      <c r="G3814" s="9">
        <v>474</v>
      </c>
      <c r="H3814" s="5" t="s">
        <v>21</v>
      </c>
      <c r="I3814" s="5" t="s">
        <v>9525</v>
      </c>
      <c r="J3814" s="12" t="str">
        <f>HYPERLINK("https://www.boe.es/gazeta/dias/1803/06/07/pdfs/GMD-1803-45.pdf#page=10","Abrir facsímil")</f>
        <v>Abrir facsímil</v>
      </c>
      <c r="K3814" s="15" t="s">
        <v>23</v>
      </c>
    </row>
    <row r="3815" spans="1:11" ht="42" customHeight="1">
      <c r="A3815" s="4" t="s">
        <v>9523</v>
      </c>
      <c r="B3815" s="5" t="s">
        <v>9524</v>
      </c>
      <c r="C3815" s="5" t="s">
        <v>51</v>
      </c>
      <c r="D3815" s="5" t="s">
        <v>52</v>
      </c>
      <c r="E3815" s="5" t="s">
        <v>496</v>
      </c>
      <c r="F3815" s="9">
        <v>90</v>
      </c>
      <c r="G3815" s="9">
        <v>966</v>
      </c>
      <c r="H3815" s="5" t="s">
        <v>21</v>
      </c>
      <c r="I3815" s="5" t="s">
        <v>9526</v>
      </c>
      <c r="J3815" s="12" t="str">
        <f>HYPERLINK("https://www.boe.es/gazeta/dias/1803/11/08/pdfs/GMD-1803-90.pdf#page=6","Abrir facsímil")</f>
        <v>Abrir facsímil</v>
      </c>
      <c r="K3815" s="15" t="s">
        <v>23</v>
      </c>
    </row>
    <row r="3816" spans="1:11" ht="42" customHeight="1">
      <c r="A3816" s="4" t="s">
        <v>9527</v>
      </c>
      <c r="B3816" s="5" t="s">
        <v>9528</v>
      </c>
      <c r="C3816" s="5" t="s">
        <v>26</v>
      </c>
      <c r="D3816" s="5" t="s">
        <v>27</v>
      </c>
      <c r="E3816" s="5" t="s">
        <v>278</v>
      </c>
      <c r="F3816" s="9">
        <v>46</v>
      </c>
      <c r="G3816" s="9">
        <v>485</v>
      </c>
      <c r="H3816" s="5" t="s">
        <v>21</v>
      </c>
      <c r="I3816" s="5" t="s">
        <v>9529</v>
      </c>
      <c r="J3816" s="12" t="str">
        <f>HYPERLINK("https://www.boe.es/gazeta/dias/1803/06/10/pdfs/GMD-1803-46.pdf#page=9","Abrir facsímil")</f>
        <v>Abrir facsímil</v>
      </c>
      <c r="K3816" s="15" t="s">
        <v>23</v>
      </c>
    </row>
    <row r="3817" spans="1:11" ht="42" customHeight="1">
      <c r="A3817" s="4" t="s">
        <v>9527</v>
      </c>
      <c r="B3817" s="5" t="s">
        <v>9528</v>
      </c>
      <c r="C3817" s="5" t="s">
        <v>18</v>
      </c>
      <c r="D3817" s="5" t="s">
        <v>19</v>
      </c>
      <c r="E3817" s="5" t="s">
        <v>910</v>
      </c>
      <c r="F3817" s="9">
        <v>66</v>
      </c>
      <c r="G3817" s="9">
        <v>718</v>
      </c>
      <c r="H3817" s="5" t="s">
        <v>21</v>
      </c>
      <c r="I3817" s="5" t="s">
        <v>9530</v>
      </c>
      <c r="J3817" s="12" t="str">
        <f>HYPERLINK("https://www.boe.es/gazeta/dias/1803/08/19/pdfs/GMD-1803-66.pdf#page=6","Abrir facsímil")</f>
        <v>Abrir facsímil</v>
      </c>
      <c r="K3817" s="15" t="s">
        <v>23</v>
      </c>
    </row>
    <row r="3818" spans="1:11" ht="42" customHeight="1">
      <c r="A3818" s="4" t="s">
        <v>9531</v>
      </c>
      <c r="B3818" s="5" t="s">
        <v>9532</v>
      </c>
      <c r="C3818" s="5" t="s">
        <v>80</v>
      </c>
      <c r="D3818" s="5" t="s">
        <v>81</v>
      </c>
      <c r="E3818" s="5" t="s">
        <v>156</v>
      </c>
      <c r="F3818" s="9">
        <v>2</v>
      </c>
      <c r="G3818" s="9">
        <v>20</v>
      </c>
      <c r="H3818" s="5" t="s">
        <v>21</v>
      </c>
      <c r="I3818" s="5" t="s">
        <v>9533</v>
      </c>
      <c r="J3818" s="12" t="str">
        <f>HYPERLINK("https://www.boe.es/gazeta/dias/1803/01/07/pdfs/GMD-1803-2.pdf#page=12","Abrir facsímil")</f>
        <v>Abrir facsímil</v>
      </c>
      <c r="K3818" s="15" t="s">
        <v>23</v>
      </c>
    </row>
    <row r="3819" spans="1:11" ht="42" customHeight="1">
      <c r="A3819" s="4" t="s">
        <v>9534</v>
      </c>
      <c r="B3819" s="5" t="s">
        <v>9535</v>
      </c>
      <c r="C3819" s="5" t="s">
        <v>26</v>
      </c>
      <c r="D3819" s="5" t="s">
        <v>27</v>
      </c>
      <c r="E3819" s="5" t="s">
        <v>395</v>
      </c>
      <c r="F3819" s="9">
        <v>13</v>
      </c>
      <c r="G3819" s="9">
        <v>134</v>
      </c>
      <c r="H3819" s="5" t="s">
        <v>21</v>
      </c>
      <c r="I3819" s="5" t="s">
        <v>9536</v>
      </c>
      <c r="J3819" s="12" t="str">
        <f>HYPERLINK("https://www.boe.es/gazeta/dias/1803/02/15/pdfs/GMD-1803-13.pdf#page=10","Abrir facsímil")</f>
        <v>Abrir facsímil</v>
      </c>
      <c r="K3819" s="15" t="s">
        <v>23</v>
      </c>
    </row>
    <row r="3820" spans="1:11" ht="42" customHeight="1">
      <c r="A3820" s="4" t="s">
        <v>9537</v>
      </c>
      <c r="B3820" s="5" t="s">
        <v>9538</v>
      </c>
      <c r="C3820" s="5" t="s">
        <v>80</v>
      </c>
      <c r="D3820" s="5" t="s">
        <v>81</v>
      </c>
      <c r="E3820" s="5" t="s">
        <v>124</v>
      </c>
      <c r="F3820" s="9">
        <v>20</v>
      </c>
      <c r="G3820" s="9">
        <v>212</v>
      </c>
      <c r="H3820" s="5" t="s">
        <v>21</v>
      </c>
      <c r="I3820" s="5" t="s">
        <v>9539</v>
      </c>
      <c r="J3820" s="12" t="str">
        <f>HYPERLINK("https://www.boe.es/gazeta/dias/1803/03/11/pdfs/GMD-1803-20.pdf#page=8","Abrir facsímil")</f>
        <v>Abrir facsímil</v>
      </c>
      <c r="K3820" s="15" t="s">
        <v>23</v>
      </c>
    </row>
    <row r="3821" spans="1:11" ht="42" customHeight="1">
      <c r="A3821" s="4" t="s">
        <v>9540</v>
      </c>
      <c r="B3821" s="5" t="s">
        <v>9541</v>
      </c>
      <c r="C3821" s="5" t="s">
        <v>80</v>
      </c>
      <c r="D3821" s="5" t="s">
        <v>81</v>
      </c>
      <c r="E3821" s="5" t="s">
        <v>361</v>
      </c>
      <c r="F3821" s="9">
        <v>62</v>
      </c>
      <c r="G3821" s="9">
        <v>680</v>
      </c>
      <c r="H3821" s="5" t="s">
        <v>21</v>
      </c>
      <c r="I3821" s="5" t="s">
        <v>9542</v>
      </c>
      <c r="J3821" s="12" t="str">
        <f>HYPERLINK("https://www.boe.es/gazeta/dias/1803/08/05/pdfs/GMD-1803-62.pdf#page=12","Abrir facsímil")</f>
        <v>Abrir facsímil</v>
      </c>
      <c r="K3821" s="15" t="s">
        <v>23</v>
      </c>
    </row>
    <row r="3822" spans="1:11" ht="42" customHeight="1">
      <c r="A3822" s="4" t="s">
        <v>9540</v>
      </c>
      <c r="B3822" s="5" t="s">
        <v>9541</v>
      </c>
      <c r="C3822" s="5" t="s">
        <v>80</v>
      </c>
      <c r="D3822" s="5" t="s">
        <v>81</v>
      </c>
      <c r="E3822" s="5" t="s">
        <v>199</v>
      </c>
      <c r="F3822" s="9">
        <v>88</v>
      </c>
      <c r="G3822" s="9">
        <v>948</v>
      </c>
      <c r="H3822" s="5" t="s">
        <v>21</v>
      </c>
      <c r="I3822" s="5" t="s">
        <v>9543</v>
      </c>
      <c r="J3822" s="12" t="str">
        <f>HYPERLINK("https://www.boe.es/gazeta/dias/1803/11/01/pdfs/GMD-1803-88.pdf#page=8","Abrir facsímil")</f>
        <v>Abrir facsímil</v>
      </c>
      <c r="K3822" s="15" t="s">
        <v>23</v>
      </c>
    </row>
    <row r="3823" spans="1:11" ht="42" customHeight="1">
      <c r="A3823" s="4" t="s">
        <v>9544</v>
      </c>
      <c r="B3823" s="5" t="s">
        <v>9545</v>
      </c>
      <c r="C3823" s="5" t="s">
        <v>80</v>
      </c>
      <c r="D3823" s="5" t="s">
        <v>81</v>
      </c>
      <c r="E3823" s="5" t="s">
        <v>1051</v>
      </c>
      <c r="F3823" s="9">
        <v>40</v>
      </c>
      <c r="G3823" s="9">
        <v>424</v>
      </c>
      <c r="H3823" s="5" t="s">
        <v>21</v>
      </c>
      <c r="I3823" s="5" t="s">
        <v>9546</v>
      </c>
      <c r="J3823" s="12" t="str">
        <f>HYPERLINK("https://www.boe.es/gazeta/dias/1803/05/20/pdfs/GMD-1803-40.pdf#page=8","Abrir facsímil")</f>
        <v>Abrir facsímil</v>
      </c>
      <c r="K3823" s="15" t="s">
        <v>23</v>
      </c>
    </row>
    <row r="3824" spans="1:11" ht="42" customHeight="1">
      <c r="A3824" s="4" t="s">
        <v>9547</v>
      </c>
      <c r="B3824" s="5" t="s">
        <v>9548</v>
      </c>
      <c r="C3824" s="5" t="s">
        <v>26</v>
      </c>
      <c r="D3824" s="5" t="s">
        <v>27</v>
      </c>
      <c r="E3824" s="5" t="s">
        <v>152</v>
      </c>
      <c r="F3824" s="9">
        <v>16</v>
      </c>
      <c r="G3824" s="9">
        <v>167</v>
      </c>
      <c r="H3824" s="5" t="s">
        <v>21</v>
      </c>
      <c r="I3824" s="5" t="s">
        <v>9549</v>
      </c>
      <c r="J3824" s="12" t="str">
        <f>HYPERLINK("https://www.boe.es/gazeta/dias/1803/02/25/pdfs/GMD-1803-16.pdf#page=7","Abrir facsímil")</f>
        <v>Abrir facsímil</v>
      </c>
      <c r="K3824" s="15" t="s">
        <v>23</v>
      </c>
    </row>
    <row r="3825" spans="1:11" ht="42" customHeight="1">
      <c r="A3825" s="4" t="s">
        <v>9550</v>
      </c>
      <c r="B3825" s="5" t="s">
        <v>9551</v>
      </c>
      <c r="C3825" s="5" t="s">
        <v>51</v>
      </c>
      <c r="D3825" s="5" t="s">
        <v>52</v>
      </c>
      <c r="E3825" s="5" t="s">
        <v>71</v>
      </c>
      <c r="F3825" s="9">
        <v>39</v>
      </c>
      <c r="G3825" s="9">
        <v>410</v>
      </c>
      <c r="H3825" s="5" t="s">
        <v>21</v>
      </c>
      <c r="I3825" s="5" t="s">
        <v>9552</v>
      </c>
      <c r="J3825" s="12" t="str">
        <f>HYPERLINK("https://www.boe.es/gazeta/dias/1803/05/17/pdfs/GMD-1803-39.pdf#page=6","Abrir facsímil")</f>
        <v>Abrir facsímil</v>
      </c>
      <c r="K3825" s="15" t="s">
        <v>23</v>
      </c>
    </row>
    <row r="3826" spans="1:11" ht="42" customHeight="1">
      <c r="A3826" s="4" t="s">
        <v>9553</v>
      </c>
      <c r="B3826" s="5" t="s">
        <v>9554</v>
      </c>
      <c r="C3826" s="5" t="s">
        <v>18</v>
      </c>
      <c r="D3826" s="5" t="s">
        <v>19</v>
      </c>
      <c r="E3826" s="5" t="s">
        <v>203</v>
      </c>
      <c r="F3826" s="9">
        <v>32</v>
      </c>
      <c r="G3826" s="9">
        <v>336</v>
      </c>
      <c r="H3826" s="5" t="s">
        <v>21</v>
      </c>
      <c r="I3826" s="5" t="s">
        <v>9555</v>
      </c>
      <c r="J3826" s="12" t="str">
        <f>HYPERLINK("https://www.boe.es/gazeta/dias/1803/04/22/pdfs/GMD-1803-32.pdf#page=8","Abrir facsímil")</f>
        <v>Abrir facsímil</v>
      </c>
      <c r="K3826" s="15" t="s">
        <v>23</v>
      </c>
    </row>
    <row r="3827" spans="1:11" ht="42" customHeight="1">
      <c r="A3827" s="4" t="s">
        <v>9556</v>
      </c>
      <c r="B3827" s="5" t="s">
        <v>9557</v>
      </c>
      <c r="C3827" s="5" t="s">
        <v>40</v>
      </c>
      <c r="D3827" s="5" t="s">
        <v>41</v>
      </c>
      <c r="E3827" s="5" t="s">
        <v>132</v>
      </c>
      <c r="F3827" s="9">
        <v>58</v>
      </c>
      <c r="G3827" s="9">
        <v>639</v>
      </c>
      <c r="H3827" s="5" t="s">
        <v>21</v>
      </c>
      <c r="I3827" s="5" t="s">
        <v>9558</v>
      </c>
      <c r="J3827" s="12" t="str">
        <f>HYPERLINK("https://www.boe.es/gazeta/dias/1803/07/22/pdfs/GMD-1803-58.pdf#page=11","Abrir facsímil")</f>
        <v>Abrir facsímil</v>
      </c>
      <c r="K3827" s="15" t="s">
        <v>23</v>
      </c>
    </row>
    <row r="3828" spans="1:11" ht="42" customHeight="1">
      <c r="A3828" s="4" t="s">
        <v>9559</v>
      </c>
      <c r="B3828" s="5" t="s">
        <v>9560</v>
      </c>
      <c r="C3828" s="5" t="s">
        <v>26</v>
      </c>
      <c r="D3828" s="5" t="s">
        <v>27</v>
      </c>
      <c r="E3828" s="5" t="s">
        <v>882</v>
      </c>
      <c r="F3828" s="9">
        <v>60</v>
      </c>
      <c r="G3828" s="9">
        <v>656</v>
      </c>
      <c r="H3828" s="5" t="s">
        <v>21</v>
      </c>
      <c r="I3828" s="5" t="s">
        <v>9561</v>
      </c>
      <c r="J3828" s="12" t="str">
        <f>HYPERLINK("https://www.boe.es/gazeta/dias/1803/07/29/pdfs/GMD-1803-60.pdf#page=8","Abrir facsímil")</f>
        <v>Abrir facsímil</v>
      </c>
      <c r="K3828" s="15" t="s">
        <v>23</v>
      </c>
    </row>
    <row r="3829" spans="1:11" ht="42" customHeight="1">
      <c r="A3829" s="4" t="s">
        <v>9559</v>
      </c>
      <c r="B3829" s="5" t="s">
        <v>9560</v>
      </c>
      <c r="C3829" s="5" t="s">
        <v>18</v>
      </c>
      <c r="D3829" s="5" t="s">
        <v>19</v>
      </c>
      <c r="E3829" s="5" t="s">
        <v>373</v>
      </c>
      <c r="F3829" s="9">
        <v>77</v>
      </c>
      <c r="G3829" s="9">
        <v>833</v>
      </c>
      <c r="H3829" s="5" t="s">
        <v>21</v>
      </c>
      <c r="I3829" s="5" t="s">
        <v>9562</v>
      </c>
      <c r="J3829" s="12" t="str">
        <f>HYPERLINK("https://www.boe.es/gazeta/dias/1803/09/23/pdfs/GMD-1803-77.pdf#page=9","Abrir facsímil")</f>
        <v>Abrir facsímil</v>
      </c>
      <c r="K3829" s="15" t="s">
        <v>23</v>
      </c>
    </row>
    <row r="3830" spans="1:11" ht="42" customHeight="1">
      <c r="A3830" s="4" t="s">
        <v>9563</v>
      </c>
      <c r="B3830" s="5" t="s">
        <v>9564</v>
      </c>
      <c r="C3830" s="5" t="s">
        <v>26</v>
      </c>
      <c r="D3830" s="5" t="s">
        <v>27</v>
      </c>
      <c r="E3830" s="5" t="s">
        <v>555</v>
      </c>
      <c r="F3830" s="9">
        <v>83</v>
      </c>
      <c r="G3830" s="9">
        <v>894</v>
      </c>
      <c r="H3830" s="5" t="s">
        <v>21</v>
      </c>
      <c r="I3830" s="5" t="s">
        <v>9565</v>
      </c>
      <c r="J3830" s="12" t="str">
        <f>HYPERLINK("https://www.boe.es/gazeta/dias/1803/10/14/pdfs/GMD-1803-83.pdf#page=6","Abrir facsímil")</f>
        <v>Abrir facsímil</v>
      </c>
      <c r="K3830" s="15" t="s">
        <v>23</v>
      </c>
    </row>
    <row r="3831" spans="1:11" ht="42" customHeight="1">
      <c r="A3831" s="4" t="s">
        <v>9566</v>
      </c>
      <c r="B3831" s="5" t="s">
        <v>9567</v>
      </c>
      <c r="C3831" s="5" t="s">
        <v>26</v>
      </c>
      <c r="D3831" s="5" t="s">
        <v>27</v>
      </c>
      <c r="E3831" s="5" t="s">
        <v>93</v>
      </c>
      <c r="F3831" s="9">
        <v>43</v>
      </c>
      <c r="G3831" s="9">
        <v>450</v>
      </c>
      <c r="H3831" s="5" t="s">
        <v>21</v>
      </c>
      <c r="I3831" s="5" t="s">
        <v>9568</v>
      </c>
      <c r="J3831" s="12" t="str">
        <f>HYPERLINK("https://www.boe.es/gazeta/dias/1803/05/31/pdfs/GMD-1803-43.pdf#page=10","Abrir facsímil")</f>
        <v>Abrir facsímil</v>
      </c>
      <c r="K3831" s="15" t="s">
        <v>23</v>
      </c>
    </row>
    <row r="3832" spans="1:11" ht="42" customHeight="1">
      <c r="A3832" s="4" t="s">
        <v>9569</v>
      </c>
      <c r="B3832" s="5" t="s">
        <v>9570</v>
      </c>
      <c r="C3832" s="5" t="s">
        <v>26</v>
      </c>
      <c r="D3832" s="5" t="s">
        <v>27</v>
      </c>
      <c r="E3832" s="5" t="s">
        <v>313</v>
      </c>
      <c r="F3832" s="9">
        <v>14</v>
      </c>
      <c r="G3832" s="9">
        <v>143</v>
      </c>
      <c r="H3832" s="5" t="s">
        <v>21</v>
      </c>
      <c r="I3832" s="5" t="s">
        <v>9571</v>
      </c>
      <c r="J3832" s="12" t="str">
        <f>HYPERLINK("https://www.boe.es/gazeta/dias/1803/02/18/pdfs/GMD-1803-14.pdf#page=7","Abrir facsímil")</f>
        <v>Abrir facsímil</v>
      </c>
      <c r="K3832" s="15" t="s">
        <v>23</v>
      </c>
    </row>
    <row r="3833" spans="1:11" ht="42" customHeight="1">
      <c r="A3833" s="4" t="s">
        <v>9572</v>
      </c>
      <c r="B3833" s="5" t="s">
        <v>9573</v>
      </c>
      <c r="C3833" s="5" t="s">
        <v>51</v>
      </c>
      <c r="D3833" s="5" t="s">
        <v>52</v>
      </c>
      <c r="E3833" s="5" t="s">
        <v>657</v>
      </c>
      <c r="F3833" s="9">
        <v>24</v>
      </c>
      <c r="G3833" s="9">
        <v>256</v>
      </c>
      <c r="H3833" s="5" t="s">
        <v>21</v>
      </c>
      <c r="I3833" s="5" t="s">
        <v>9574</v>
      </c>
      <c r="J3833" s="12" t="str">
        <f>HYPERLINK("https://www.boe.es/gazeta/dias/1803/03/25/pdfs/GMD-1803-24.pdf#page=8","Abrir facsímil")</f>
        <v>Abrir facsímil</v>
      </c>
      <c r="K3833" s="15" t="s">
        <v>23</v>
      </c>
    </row>
    <row r="3834" spans="1:11" ht="42" customHeight="1">
      <c r="A3834" s="4" t="s">
        <v>9575</v>
      </c>
      <c r="B3834" s="5" t="s">
        <v>9576</v>
      </c>
      <c r="C3834" s="5" t="s">
        <v>26</v>
      </c>
      <c r="D3834" s="5" t="s">
        <v>27</v>
      </c>
      <c r="E3834" s="5" t="s">
        <v>882</v>
      </c>
      <c r="F3834" s="9">
        <v>60</v>
      </c>
      <c r="G3834" s="9">
        <v>657</v>
      </c>
      <c r="H3834" s="5" t="s">
        <v>21</v>
      </c>
      <c r="I3834" s="5" t="s">
        <v>9577</v>
      </c>
      <c r="J3834" s="12" t="str">
        <f>HYPERLINK("https://www.boe.es/gazeta/dias/1803/07/29/pdfs/GMD-1803-60.pdf#page=9","Abrir facsímil")</f>
        <v>Abrir facsímil</v>
      </c>
      <c r="K3834" s="15" t="s">
        <v>23</v>
      </c>
    </row>
    <row r="3835" spans="1:11" ht="42" customHeight="1">
      <c r="A3835" s="4" t="s">
        <v>9578</v>
      </c>
      <c r="B3835" s="5" t="s">
        <v>9579</v>
      </c>
      <c r="C3835" s="5" t="s">
        <v>26</v>
      </c>
      <c r="D3835" s="5" t="s">
        <v>27</v>
      </c>
      <c r="E3835" s="5" t="s">
        <v>191</v>
      </c>
      <c r="F3835" s="9">
        <v>34</v>
      </c>
      <c r="G3835" s="9">
        <v>357</v>
      </c>
      <c r="H3835" s="5" t="s">
        <v>21</v>
      </c>
      <c r="I3835" s="5" t="s">
        <v>9580</v>
      </c>
      <c r="J3835" s="12" t="str">
        <f>HYPERLINK("https://www.boe.es/gazeta/dias/1803/04/29/pdfs/GMD-1803-34.pdf#page=5","Abrir facsímil")</f>
        <v>Abrir facsímil</v>
      </c>
      <c r="K3835" s="15" t="s">
        <v>23</v>
      </c>
    </row>
    <row r="3836" spans="1:11" ht="42" customHeight="1">
      <c r="A3836" s="4" t="s">
        <v>9578</v>
      </c>
      <c r="B3836" s="5" t="s">
        <v>9579</v>
      </c>
      <c r="C3836" s="5" t="s">
        <v>26</v>
      </c>
      <c r="D3836" s="5" t="s">
        <v>27</v>
      </c>
      <c r="E3836" s="5" t="s">
        <v>57</v>
      </c>
      <c r="F3836" s="9">
        <v>51</v>
      </c>
      <c r="G3836" s="9">
        <v>553</v>
      </c>
      <c r="H3836" s="5" t="s">
        <v>21</v>
      </c>
      <c r="I3836" s="5" t="s">
        <v>9581</v>
      </c>
      <c r="J3836" s="12" t="str">
        <f>HYPERLINK("https://www.boe.es/gazeta/dias/1803/06/28/pdfs/GMD-1803-51.pdf#page=9","Abrir facsímil")</f>
        <v>Abrir facsímil</v>
      </c>
      <c r="K3836" s="15" t="s">
        <v>23</v>
      </c>
    </row>
    <row r="3837" spans="1:11" ht="42" customHeight="1">
      <c r="A3837" s="4" t="s">
        <v>9582</v>
      </c>
      <c r="B3837" s="5" t="s">
        <v>9583</v>
      </c>
      <c r="C3837" s="5" t="s">
        <v>26</v>
      </c>
      <c r="D3837" s="5" t="s">
        <v>27</v>
      </c>
      <c r="E3837" s="5" t="s">
        <v>1846</v>
      </c>
      <c r="F3837" s="9">
        <v>89</v>
      </c>
      <c r="G3837" s="9">
        <v>959</v>
      </c>
      <c r="H3837" s="5" t="s">
        <v>21</v>
      </c>
      <c r="I3837" s="5" t="s">
        <v>9584</v>
      </c>
      <c r="J3837" s="12" t="str">
        <f>HYPERLINK("https://www.boe.es/gazeta/dias/1803/11/04/pdfs/GMD-1803-89.pdf#page=7","Abrir facsímil")</f>
        <v>Abrir facsímil</v>
      </c>
      <c r="K3837" s="15" t="s">
        <v>23</v>
      </c>
    </row>
    <row r="3838" spans="1:11" ht="42" customHeight="1">
      <c r="A3838" s="4" t="s">
        <v>9585</v>
      </c>
      <c r="B3838" s="5" t="s">
        <v>9586</v>
      </c>
      <c r="C3838" s="5" t="s">
        <v>26</v>
      </c>
      <c r="D3838" s="5" t="s">
        <v>27</v>
      </c>
      <c r="E3838" s="5" t="s">
        <v>630</v>
      </c>
      <c r="F3838" s="9">
        <v>85</v>
      </c>
      <c r="G3838" s="9">
        <v>917</v>
      </c>
      <c r="H3838" s="5" t="s">
        <v>21</v>
      </c>
      <c r="I3838" s="5" t="s">
        <v>9587</v>
      </c>
      <c r="J3838" s="12" t="str">
        <f>HYPERLINK("https://www.boe.es/gazeta/dias/1803/10/21/pdfs/GMD-1803-85.pdf#page=9","Abrir facsímil")</f>
        <v>Abrir facsímil</v>
      </c>
      <c r="K3838" s="15" t="s">
        <v>23</v>
      </c>
    </row>
    <row r="3839" spans="1:11" ht="42" customHeight="1">
      <c r="A3839" s="4" t="s">
        <v>9588</v>
      </c>
      <c r="B3839" s="5" t="s">
        <v>9589</v>
      </c>
      <c r="C3839" s="5" t="s">
        <v>26</v>
      </c>
      <c r="D3839" s="5" t="s">
        <v>27</v>
      </c>
      <c r="E3839" s="5" t="s">
        <v>606</v>
      </c>
      <c r="F3839" s="9">
        <v>47</v>
      </c>
      <c r="G3839" s="9">
        <v>498</v>
      </c>
      <c r="H3839" s="5" t="s">
        <v>21</v>
      </c>
      <c r="I3839" s="5" t="s">
        <v>9590</v>
      </c>
      <c r="J3839" s="12" t="str">
        <f>HYPERLINK("https://www.boe.es/gazeta/dias/1803/06/14/pdfs/GMD-1803-47.pdf#page=10","Abrir facsímil")</f>
        <v>Abrir facsímil</v>
      </c>
      <c r="K3839" s="15" t="s">
        <v>23</v>
      </c>
    </row>
    <row r="3840" spans="1:11" ht="42" customHeight="1">
      <c r="A3840" s="4" t="s">
        <v>9588</v>
      </c>
      <c r="B3840" s="5" t="s">
        <v>9589</v>
      </c>
      <c r="C3840" s="5" t="s">
        <v>40</v>
      </c>
      <c r="D3840" s="5" t="s">
        <v>41</v>
      </c>
      <c r="E3840" s="5" t="s">
        <v>53</v>
      </c>
      <c r="F3840" s="9">
        <v>99</v>
      </c>
      <c r="G3840" s="9">
        <v>1060</v>
      </c>
      <c r="H3840" s="5" t="s">
        <v>21</v>
      </c>
      <c r="I3840" s="5" t="s">
        <v>9591</v>
      </c>
      <c r="J3840" s="12" t="str">
        <f>HYPERLINK("https://www.boe.es/gazeta/dias/1803/12/09/pdfs/GMD-1803-99.pdf#page=8","Abrir facsímil")</f>
        <v>Abrir facsímil</v>
      </c>
      <c r="K3840" s="15" t="s">
        <v>23</v>
      </c>
    </row>
    <row r="3841" spans="1:11" ht="42" customHeight="1">
      <c r="A3841" s="4" t="s">
        <v>9592</v>
      </c>
      <c r="B3841" s="5" t="s">
        <v>9593</v>
      </c>
      <c r="C3841" s="5" t="s">
        <v>26</v>
      </c>
      <c r="D3841" s="5" t="s">
        <v>27</v>
      </c>
      <c r="E3841" s="5" t="s">
        <v>71</v>
      </c>
      <c r="F3841" s="9">
        <v>39</v>
      </c>
      <c r="G3841" s="9">
        <v>414</v>
      </c>
      <c r="H3841" s="5" t="s">
        <v>21</v>
      </c>
      <c r="I3841" s="5" t="s">
        <v>9594</v>
      </c>
      <c r="J3841" s="12" t="str">
        <f>HYPERLINK("https://www.boe.es/gazeta/dias/1803/05/17/pdfs/GMD-1803-39.pdf#page=10","Abrir facsímil")</f>
        <v>Abrir facsímil</v>
      </c>
      <c r="K3841" s="15" t="s">
        <v>23</v>
      </c>
    </row>
    <row r="3842" spans="1:11" ht="42" customHeight="1">
      <c r="A3842" s="4" t="s">
        <v>9595</v>
      </c>
      <c r="B3842" s="5" t="s">
        <v>9596</v>
      </c>
      <c r="C3842" s="5" t="s">
        <v>26</v>
      </c>
      <c r="D3842" s="5" t="s">
        <v>27</v>
      </c>
      <c r="E3842" s="5" t="s">
        <v>1846</v>
      </c>
      <c r="F3842" s="9">
        <v>89</v>
      </c>
      <c r="G3842" s="9">
        <v>959</v>
      </c>
      <c r="H3842" s="5" t="s">
        <v>21</v>
      </c>
      <c r="I3842" s="5" t="s">
        <v>9597</v>
      </c>
      <c r="J3842" s="12" t="str">
        <f>HYPERLINK("https://www.boe.es/gazeta/dias/1803/11/04/pdfs/GMD-1803-89.pdf#page=7","Abrir facsímil")</f>
        <v>Abrir facsímil</v>
      </c>
      <c r="K3842" s="15" t="s">
        <v>23</v>
      </c>
    </row>
    <row r="3843" spans="1:11" ht="42" customHeight="1">
      <c r="A3843" s="4" t="s">
        <v>9598</v>
      </c>
      <c r="B3843" s="5" t="s">
        <v>9599</v>
      </c>
      <c r="C3843" s="5" t="s">
        <v>26</v>
      </c>
      <c r="D3843" s="5" t="s">
        <v>27</v>
      </c>
      <c r="E3843" s="5" t="s">
        <v>328</v>
      </c>
      <c r="F3843" s="9">
        <v>54</v>
      </c>
      <c r="G3843" s="9">
        <v>590</v>
      </c>
      <c r="H3843" s="5" t="s">
        <v>21</v>
      </c>
      <c r="I3843" s="5" t="s">
        <v>9600</v>
      </c>
      <c r="J3843" s="12" t="str">
        <f>HYPERLINK("https://www.boe.es/gazeta/dias/1803/07/08/pdfs/GMD-1803-54.pdf#page=10","Abrir facsímil")</f>
        <v>Abrir facsímil</v>
      </c>
      <c r="K3843" s="15" t="s">
        <v>23</v>
      </c>
    </row>
    <row r="3844" spans="1:11" ht="42" customHeight="1">
      <c r="A3844" s="4" t="s">
        <v>9601</v>
      </c>
      <c r="B3844" s="5" t="s">
        <v>9602</v>
      </c>
      <c r="C3844" s="5" t="s">
        <v>26</v>
      </c>
      <c r="D3844" s="5" t="s">
        <v>27</v>
      </c>
      <c r="E3844" s="5" t="s">
        <v>278</v>
      </c>
      <c r="F3844" s="9">
        <v>46</v>
      </c>
      <c r="G3844" s="9">
        <v>486</v>
      </c>
      <c r="H3844" s="5" t="s">
        <v>21</v>
      </c>
      <c r="I3844" s="5" t="s">
        <v>9603</v>
      </c>
      <c r="J3844" s="12" t="str">
        <f>HYPERLINK("https://www.boe.es/gazeta/dias/1803/06/10/pdfs/GMD-1803-46.pdf#page=10","Abrir facsímil")</f>
        <v>Abrir facsímil</v>
      </c>
      <c r="K3844" s="15" t="s">
        <v>23</v>
      </c>
    </row>
    <row r="3845" spans="1:11" ht="42" customHeight="1">
      <c r="A3845" s="4" t="s">
        <v>9604</v>
      </c>
      <c r="B3845" s="5" t="s">
        <v>9605</v>
      </c>
      <c r="C3845" s="5" t="s">
        <v>26</v>
      </c>
      <c r="D3845" s="5" t="s">
        <v>27</v>
      </c>
      <c r="E3845" s="5" t="s">
        <v>128</v>
      </c>
      <c r="F3845" s="9">
        <v>80</v>
      </c>
      <c r="G3845" s="9">
        <v>864</v>
      </c>
      <c r="H3845" s="5" t="s">
        <v>21</v>
      </c>
      <c r="I3845" s="5" t="s">
        <v>9606</v>
      </c>
      <c r="J3845" s="12" t="str">
        <f>HYPERLINK("https://www.boe.es/gazeta/dias/1803/10/04/pdfs/GMD-1803-80.pdf#page=8","Abrir facsímil")</f>
        <v>Abrir facsímil</v>
      </c>
      <c r="K3845" s="15" t="s">
        <v>23</v>
      </c>
    </row>
    <row r="3846" spans="1:11" ht="42" customHeight="1">
      <c r="A3846" s="4" t="s">
        <v>9604</v>
      </c>
      <c r="B3846" s="5" t="s">
        <v>9605</v>
      </c>
      <c r="C3846" s="5" t="s">
        <v>26</v>
      </c>
      <c r="D3846" s="5" t="s">
        <v>27</v>
      </c>
      <c r="E3846" s="5" t="s">
        <v>571</v>
      </c>
      <c r="F3846" s="9">
        <v>103</v>
      </c>
      <c r="G3846" s="9">
        <v>1107</v>
      </c>
      <c r="H3846" s="5" t="s">
        <v>21</v>
      </c>
      <c r="I3846" s="5" t="s">
        <v>9607</v>
      </c>
      <c r="J3846" s="12" t="str">
        <f>HYPERLINK("https://www.boe.es/gazeta/dias/1803/12/23/pdfs/GMD-1803-103.pdf#page=7","Abrir facsímil")</f>
        <v>Abrir facsímil</v>
      </c>
      <c r="K3846" s="15" t="s">
        <v>23</v>
      </c>
    </row>
    <row r="3847" spans="1:11" ht="42" customHeight="1">
      <c r="A3847" s="4" t="s">
        <v>9608</v>
      </c>
      <c r="B3847" s="5" t="s">
        <v>9609</v>
      </c>
      <c r="C3847" s="5" t="s">
        <v>26</v>
      </c>
      <c r="D3847" s="5" t="s">
        <v>27</v>
      </c>
      <c r="E3847" s="5" t="s">
        <v>231</v>
      </c>
      <c r="F3847" s="9">
        <v>26</v>
      </c>
      <c r="G3847" s="9">
        <v>278</v>
      </c>
      <c r="H3847" s="5" t="s">
        <v>21</v>
      </c>
      <c r="I3847" s="5" t="s">
        <v>9610</v>
      </c>
      <c r="J3847" s="12" t="str">
        <f>HYPERLINK("https://www.boe.es/gazeta/dias/1803/04/01/pdfs/GMD-1803-26.pdf#page=6","Abrir facsímil")</f>
        <v>Abrir facsímil</v>
      </c>
      <c r="K3847" s="15" t="s">
        <v>23</v>
      </c>
    </row>
    <row r="3848" spans="1:11" ht="42" customHeight="1">
      <c r="A3848" s="4" t="s">
        <v>9611</v>
      </c>
      <c r="B3848" s="5" t="s">
        <v>9612</v>
      </c>
      <c r="C3848" s="5" t="s">
        <v>80</v>
      </c>
      <c r="D3848" s="5" t="s">
        <v>81</v>
      </c>
      <c r="E3848" s="5" t="s">
        <v>203</v>
      </c>
      <c r="F3848" s="9">
        <v>32</v>
      </c>
      <c r="G3848" s="9">
        <v>330</v>
      </c>
      <c r="H3848" s="5" t="s">
        <v>21</v>
      </c>
      <c r="I3848" s="5" t="s">
        <v>9613</v>
      </c>
      <c r="J3848" s="12" t="str">
        <f>HYPERLINK("https://www.boe.es/gazeta/dias/1803/04/22/pdfs/GMD-1803-32.pdf#page=2","Abrir facsímil")</f>
        <v>Abrir facsímil</v>
      </c>
      <c r="K3848" s="15" t="s">
        <v>23</v>
      </c>
    </row>
    <row r="3849" spans="1:11" ht="42" customHeight="1">
      <c r="A3849" s="4" t="s">
        <v>9614</v>
      </c>
      <c r="B3849" s="5" t="s">
        <v>9615</v>
      </c>
      <c r="C3849" s="5" t="s">
        <v>26</v>
      </c>
      <c r="D3849" s="5" t="s">
        <v>27</v>
      </c>
      <c r="E3849" s="5" t="s">
        <v>203</v>
      </c>
      <c r="F3849" s="9">
        <v>32</v>
      </c>
      <c r="G3849" s="9">
        <v>336</v>
      </c>
      <c r="H3849" s="5" t="s">
        <v>21</v>
      </c>
      <c r="I3849" s="5" t="s">
        <v>9616</v>
      </c>
      <c r="J3849" s="12" t="str">
        <f>HYPERLINK("https://www.boe.es/gazeta/dias/1803/04/22/pdfs/GMD-1803-32.pdf#page=8","Abrir facsímil")</f>
        <v>Abrir facsímil</v>
      </c>
      <c r="K3849" s="15" t="s">
        <v>23</v>
      </c>
    </row>
    <row r="3850" spans="1:11" ht="42" customHeight="1">
      <c r="A3850" s="4" t="s">
        <v>9617</v>
      </c>
      <c r="B3850" s="5" t="s">
        <v>9618</v>
      </c>
      <c r="C3850" s="5" t="s">
        <v>26</v>
      </c>
      <c r="D3850" s="5" t="s">
        <v>27</v>
      </c>
      <c r="E3850" s="5" t="s">
        <v>1846</v>
      </c>
      <c r="F3850" s="9">
        <v>89</v>
      </c>
      <c r="G3850" s="9">
        <v>959</v>
      </c>
      <c r="H3850" s="5" t="s">
        <v>21</v>
      </c>
      <c r="I3850" s="5" t="s">
        <v>9619</v>
      </c>
      <c r="J3850" s="12" t="str">
        <f>HYPERLINK("https://www.boe.es/gazeta/dias/1803/11/04/pdfs/GMD-1803-89.pdf#page=7","Abrir facsímil")</f>
        <v>Abrir facsímil</v>
      </c>
      <c r="K3850" s="15" t="s">
        <v>23</v>
      </c>
    </row>
    <row r="3851" spans="1:11" ht="42" customHeight="1">
      <c r="A3851" s="4" t="s">
        <v>9620</v>
      </c>
      <c r="B3851" s="5" t="s">
        <v>9621</v>
      </c>
      <c r="C3851" s="5" t="s">
        <v>51</v>
      </c>
      <c r="D3851" s="5" t="s">
        <v>52</v>
      </c>
      <c r="E3851" s="5" t="s">
        <v>99</v>
      </c>
      <c r="F3851" s="9">
        <v>29</v>
      </c>
      <c r="G3851" s="9">
        <v>310</v>
      </c>
      <c r="H3851" s="5" t="s">
        <v>21</v>
      </c>
      <c r="I3851" s="5" t="s">
        <v>9622</v>
      </c>
      <c r="J3851" s="12" t="str">
        <f>HYPERLINK("https://www.boe.es/gazeta/dias/1803/04/12/pdfs/GMD-1803-29.pdf#page=6","Abrir facsímil")</f>
        <v>Abrir facsímil</v>
      </c>
      <c r="K3851" s="15" t="s">
        <v>23</v>
      </c>
    </row>
    <row r="3852" spans="1:11" ht="42" customHeight="1">
      <c r="A3852" s="4" t="s">
        <v>9623</v>
      </c>
      <c r="B3852" s="5" t="s">
        <v>9624</v>
      </c>
      <c r="C3852" s="5" t="s">
        <v>26</v>
      </c>
      <c r="D3852" s="5" t="s">
        <v>27</v>
      </c>
      <c r="E3852" s="5" t="s">
        <v>75</v>
      </c>
      <c r="F3852" s="9">
        <v>56</v>
      </c>
      <c r="G3852" s="9">
        <v>611</v>
      </c>
      <c r="H3852" s="5" t="s">
        <v>21</v>
      </c>
      <c r="I3852" s="5" t="s">
        <v>9625</v>
      </c>
      <c r="J3852" s="12" t="str">
        <f>HYPERLINK("https://www.boe.es/gazeta/dias/1803/07/15/pdfs/GMD-1803-56.pdf#page=7","Abrir facsímil")</f>
        <v>Abrir facsímil</v>
      </c>
      <c r="K3852" s="15" t="s">
        <v>23</v>
      </c>
    </row>
    <row r="3853" spans="1:11" ht="42" customHeight="1">
      <c r="A3853" s="4" t="s">
        <v>9626</v>
      </c>
      <c r="B3853" s="5" t="s">
        <v>9627</v>
      </c>
      <c r="C3853" s="5" t="s">
        <v>26</v>
      </c>
      <c r="D3853" s="5" t="s">
        <v>27</v>
      </c>
      <c r="E3853" s="5" t="s">
        <v>389</v>
      </c>
      <c r="F3853" s="9">
        <v>41</v>
      </c>
      <c r="G3853" s="9">
        <v>425</v>
      </c>
      <c r="H3853" s="5" t="s">
        <v>21</v>
      </c>
      <c r="I3853" s="5" t="s">
        <v>9628</v>
      </c>
      <c r="J3853" s="12" t="str">
        <f>HYPERLINK("https://www.boe.es/gazeta/dias/1803/05/24/pdfs/GMD-1803-41.pdf#page=1","Abrir facsímil")</f>
        <v>Abrir facsímil</v>
      </c>
      <c r="K3853" s="15" t="s">
        <v>23</v>
      </c>
    </row>
    <row r="3854" spans="1:11" ht="42" customHeight="1">
      <c r="A3854" s="4" t="s">
        <v>9629</v>
      </c>
      <c r="B3854" s="5" t="s">
        <v>9630</v>
      </c>
      <c r="C3854" s="5" t="s">
        <v>18</v>
      </c>
      <c r="D3854" s="5" t="s">
        <v>19</v>
      </c>
      <c r="E3854" s="5" t="s">
        <v>439</v>
      </c>
      <c r="F3854" s="9">
        <v>76</v>
      </c>
      <c r="G3854" s="9">
        <v>822</v>
      </c>
      <c r="H3854" s="5" t="s">
        <v>21</v>
      </c>
      <c r="I3854" s="5" t="s">
        <v>9631</v>
      </c>
      <c r="J3854" s="12" t="str">
        <f>HYPERLINK("https://www.boe.es/gazeta/dias/1803/09/20/pdfs/GMD-1803-76.pdf#page=10","Abrir facsímil")</f>
        <v>Abrir facsímil</v>
      </c>
      <c r="K3854" s="15" t="s">
        <v>23</v>
      </c>
    </row>
    <row r="3855" spans="1:11" ht="42" customHeight="1">
      <c r="A3855" s="4" t="s">
        <v>9632</v>
      </c>
      <c r="B3855" s="5" t="s">
        <v>9633</v>
      </c>
      <c r="C3855" s="5" t="s">
        <v>26</v>
      </c>
      <c r="D3855" s="5" t="s">
        <v>27</v>
      </c>
      <c r="E3855" s="5" t="s">
        <v>148</v>
      </c>
      <c r="F3855" s="9">
        <v>15</v>
      </c>
      <c r="G3855" s="9">
        <v>157</v>
      </c>
      <c r="H3855" s="5" t="s">
        <v>21</v>
      </c>
      <c r="I3855" s="5" t="s">
        <v>9634</v>
      </c>
      <c r="J3855" s="12" t="str">
        <f>HYPERLINK("https://www.boe.es/gazeta/dias/1803/02/22/pdfs/GMD-1803-15.pdf#page=9","Abrir facsímil")</f>
        <v>Abrir facsímil</v>
      </c>
      <c r="K3855" s="15" t="s">
        <v>23</v>
      </c>
    </row>
    <row r="3856" spans="1:11" ht="42" customHeight="1">
      <c r="A3856" s="4" t="s">
        <v>9635</v>
      </c>
      <c r="B3856" s="5" t="s">
        <v>9636</v>
      </c>
      <c r="C3856" s="5" t="s">
        <v>46</v>
      </c>
      <c r="D3856" s="5" t="s">
        <v>19</v>
      </c>
      <c r="E3856" s="5" t="s">
        <v>57</v>
      </c>
      <c r="F3856" s="9">
        <v>51</v>
      </c>
      <c r="G3856" s="9">
        <v>555</v>
      </c>
      <c r="H3856" s="5" t="s">
        <v>21</v>
      </c>
      <c r="I3856" s="5" t="s">
        <v>9637</v>
      </c>
      <c r="J3856" s="12" t="str">
        <f>HYPERLINK("https://www.boe.es/gazeta/dias/1803/06/28/pdfs/GMD-1803-51.pdf#page=11","Abrir facsímil")</f>
        <v>Abrir facsímil</v>
      </c>
      <c r="K3856" s="15" t="s">
        <v>23</v>
      </c>
    </row>
    <row r="3857" spans="1:11" ht="42" customHeight="1">
      <c r="A3857" s="4" t="s">
        <v>9638</v>
      </c>
      <c r="B3857" s="5" t="s">
        <v>9639</v>
      </c>
      <c r="C3857" s="5" t="s">
        <v>26</v>
      </c>
      <c r="D3857" s="5" t="s">
        <v>27</v>
      </c>
      <c r="E3857" s="5" t="s">
        <v>61</v>
      </c>
      <c r="F3857" s="9">
        <v>67</v>
      </c>
      <c r="G3857" s="9">
        <v>729</v>
      </c>
      <c r="H3857" s="5" t="s">
        <v>21</v>
      </c>
      <c r="I3857" s="5" t="s">
        <v>9640</v>
      </c>
      <c r="J3857" s="12" t="str">
        <f>HYPERLINK("https://www.boe.es/gazeta/dias/1803/08/23/pdfs/GMD-1803-67.pdf#page=9","Abrir facsímil")</f>
        <v>Abrir facsímil</v>
      </c>
      <c r="K3857" s="15" t="s">
        <v>23</v>
      </c>
    </row>
    <row r="3858" spans="1:11" ht="42" customHeight="1">
      <c r="A3858" s="4" t="s">
        <v>9641</v>
      </c>
      <c r="B3858" s="5" t="s">
        <v>9642</v>
      </c>
      <c r="C3858" s="5" t="s">
        <v>26</v>
      </c>
      <c r="D3858" s="5" t="s">
        <v>27</v>
      </c>
      <c r="E3858" s="5" t="s">
        <v>42</v>
      </c>
      <c r="F3858" s="9">
        <v>10</v>
      </c>
      <c r="G3858" s="9">
        <v>104</v>
      </c>
      <c r="H3858" s="5" t="s">
        <v>21</v>
      </c>
      <c r="I3858" s="5" t="s">
        <v>9643</v>
      </c>
      <c r="J3858" s="12" t="str">
        <f>HYPERLINK("https://www.boe.es/gazeta/dias/1803/02/04/pdfs/GMD-1803-10.pdf#page=8","Abrir facsímil")</f>
        <v>Abrir facsímil</v>
      </c>
      <c r="K3858" s="15" t="s">
        <v>23</v>
      </c>
    </row>
    <row r="3859" spans="1:11" ht="42" customHeight="1">
      <c r="A3859" s="4" t="s">
        <v>9641</v>
      </c>
      <c r="B3859" s="5" t="s">
        <v>9642</v>
      </c>
      <c r="C3859" s="5" t="s">
        <v>40</v>
      </c>
      <c r="D3859" s="5" t="s">
        <v>41</v>
      </c>
      <c r="E3859" s="5" t="s">
        <v>28</v>
      </c>
      <c r="F3859" s="9">
        <v>92</v>
      </c>
      <c r="G3859" s="9">
        <v>986</v>
      </c>
      <c r="H3859" s="5" t="s">
        <v>21</v>
      </c>
      <c r="I3859" s="5" t="s">
        <v>9644</v>
      </c>
      <c r="J3859" s="12" t="str">
        <f>HYPERLINK("https://www.boe.es/gazeta/dias/1803/11/15/pdfs/GMD-1803-92.pdf#page=6","Abrir facsímil")</f>
        <v>Abrir facsímil</v>
      </c>
      <c r="K3859" s="15" t="s">
        <v>23</v>
      </c>
    </row>
    <row r="3860" spans="1:11" ht="42" customHeight="1">
      <c r="A3860" s="4" t="s">
        <v>9645</v>
      </c>
      <c r="B3860" s="5" t="s">
        <v>9646</v>
      </c>
      <c r="C3860" s="5" t="s">
        <v>26</v>
      </c>
      <c r="D3860" s="5" t="s">
        <v>27</v>
      </c>
      <c r="E3860" s="5" t="s">
        <v>373</v>
      </c>
      <c r="F3860" s="9">
        <v>77</v>
      </c>
      <c r="G3860" s="9">
        <v>834</v>
      </c>
      <c r="H3860" s="5" t="s">
        <v>21</v>
      </c>
      <c r="I3860" s="5" t="s">
        <v>9647</v>
      </c>
      <c r="J3860" s="12" t="str">
        <f>HYPERLINK("https://www.boe.es/gazeta/dias/1803/09/23/pdfs/GMD-1803-77.pdf#page=10","Abrir facsímil")</f>
        <v>Abrir facsímil</v>
      </c>
      <c r="K3860" s="15" t="s">
        <v>23</v>
      </c>
    </row>
    <row r="3861" spans="1:11" ht="42" customHeight="1">
      <c r="A3861" s="4" t="s">
        <v>9648</v>
      </c>
      <c r="B3861" s="5" t="s">
        <v>9649</v>
      </c>
      <c r="C3861" s="5" t="s">
        <v>26</v>
      </c>
      <c r="D3861" s="5" t="s">
        <v>27</v>
      </c>
      <c r="E3861" s="5" t="s">
        <v>132</v>
      </c>
      <c r="F3861" s="9">
        <v>58</v>
      </c>
      <c r="G3861" s="9">
        <v>639</v>
      </c>
      <c r="H3861" s="5" t="s">
        <v>21</v>
      </c>
      <c r="I3861" s="5" t="s">
        <v>9650</v>
      </c>
      <c r="J3861" s="12" t="str">
        <f>HYPERLINK("https://www.boe.es/gazeta/dias/1803/07/22/pdfs/GMD-1803-58.pdf#page=11","Abrir facsímil")</f>
        <v>Abrir facsímil</v>
      </c>
      <c r="K3861" s="15" t="s">
        <v>23</v>
      </c>
    </row>
    <row r="3862" spans="1:11" ht="42" customHeight="1">
      <c r="A3862" s="4" t="s">
        <v>9651</v>
      </c>
      <c r="B3862" s="5" t="s">
        <v>9652</v>
      </c>
      <c r="C3862" s="5" t="s">
        <v>26</v>
      </c>
      <c r="D3862" s="5" t="s">
        <v>27</v>
      </c>
      <c r="E3862" s="5" t="s">
        <v>289</v>
      </c>
      <c r="F3862" s="9">
        <v>38</v>
      </c>
      <c r="G3862" s="9">
        <v>401</v>
      </c>
      <c r="H3862" s="5" t="s">
        <v>21</v>
      </c>
      <c r="I3862" s="5" t="s">
        <v>9653</v>
      </c>
      <c r="J3862" s="12" t="str">
        <f>HYPERLINK("https://www.boe.es/gazeta/dias/1803/05/13/pdfs/GMD-1803-38.pdf#page=9","Abrir facsímil")</f>
        <v>Abrir facsímil</v>
      </c>
      <c r="K3862" s="15" t="s">
        <v>23</v>
      </c>
    </row>
    <row r="3863" spans="1:11" ht="42" customHeight="1">
      <c r="A3863" s="4" t="s">
        <v>9654</v>
      </c>
      <c r="B3863" s="5" t="s">
        <v>9655</v>
      </c>
      <c r="C3863" s="5" t="s">
        <v>26</v>
      </c>
      <c r="D3863" s="5" t="s">
        <v>27</v>
      </c>
      <c r="E3863" s="5" t="s">
        <v>88</v>
      </c>
      <c r="F3863" s="9">
        <v>18</v>
      </c>
      <c r="G3863" s="9">
        <v>188</v>
      </c>
      <c r="H3863" s="5" t="s">
        <v>21</v>
      </c>
      <c r="I3863" s="5" t="s">
        <v>9656</v>
      </c>
      <c r="J3863" s="12" t="str">
        <f>HYPERLINK("https://www.boe.es/gazeta/dias/1803/03/04/pdfs/GMD-1803-18.pdf#page=8","Abrir facsímil")</f>
        <v>Abrir facsímil</v>
      </c>
      <c r="K3863" s="15" t="s">
        <v>23</v>
      </c>
    </row>
    <row r="3864" spans="1:11" ht="42" customHeight="1">
      <c r="A3864" s="4" t="s">
        <v>9657</v>
      </c>
      <c r="B3864" s="5" t="s">
        <v>9657</v>
      </c>
      <c r="C3864" s="5" t="s">
        <v>26</v>
      </c>
      <c r="D3864" s="5" t="s">
        <v>27</v>
      </c>
      <c r="E3864" s="5" t="s">
        <v>1915</v>
      </c>
      <c r="F3864" s="9">
        <v>44</v>
      </c>
      <c r="G3864" s="9">
        <v>459</v>
      </c>
      <c r="H3864" s="5" t="s">
        <v>21</v>
      </c>
      <c r="I3864" s="5" t="s">
        <v>9658</v>
      </c>
      <c r="J3864" s="12" t="str">
        <f>HYPERLINK("https://www.boe.es/gazeta/dias/1803/06/03/pdfs/GMD-1803-44.pdf#page=7","Abrir facsímil")</f>
        <v>Abrir facsímil</v>
      </c>
      <c r="K3864" s="15" t="s">
        <v>23</v>
      </c>
    </row>
    <row r="3865" spans="1:11" ht="42" customHeight="1">
      <c r="A3865" s="4" t="s">
        <v>9659</v>
      </c>
      <c r="B3865" s="5" t="s">
        <v>9660</v>
      </c>
      <c r="C3865" s="5" t="s">
        <v>51</v>
      </c>
      <c r="D3865" s="5" t="s">
        <v>52</v>
      </c>
      <c r="E3865" s="5" t="s">
        <v>71</v>
      </c>
      <c r="F3865" s="9">
        <v>39</v>
      </c>
      <c r="G3865" s="9">
        <v>413</v>
      </c>
      <c r="H3865" s="5" t="s">
        <v>21</v>
      </c>
      <c r="I3865" s="5" t="s">
        <v>9661</v>
      </c>
      <c r="J3865" s="12" t="str">
        <f>HYPERLINK("https://www.boe.es/gazeta/dias/1803/05/17/pdfs/GMD-1803-39.pdf#page=9","Abrir facsímil")</f>
        <v>Abrir facsímil</v>
      </c>
      <c r="K3865" s="15" t="s">
        <v>23</v>
      </c>
    </row>
    <row r="3866" spans="1:11" ht="42" customHeight="1">
      <c r="A3866" s="4" t="s">
        <v>9662</v>
      </c>
      <c r="B3866" s="5" t="s">
        <v>9662</v>
      </c>
      <c r="C3866" s="5" t="s">
        <v>46</v>
      </c>
      <c r="D3866" s="5" t="s">
        <v>19</v>
      </c>
      <c r="E3866" s="5" t="s">
        <v>231</v>
      </c>
      <c r="F3866" s="9">
        <v>26</v>
      </c>
      <c r="G3866" s="9">
        <v>283</v>
      </c>
      <c r="H3866" s="5" t="s">
        <v>21</v>
      </c>
      <c r="I3866" s="5" t="s">
        <v>9663</v>
      </c>
      <c r="J3866" s="12" t="str">
        <f>HYPERLINK("https://www.boe.es/gazeta/dias/1803/04/01/pdfs/GMD-1803-26.pdf#page=11","Abrir facsímil")</f>
        <v>Abrir facsímil</v>
      </c>
      <c r="K3866" s="15" t="s">
        <v>23</v>
      </c>
    </row>
    <row r="3867" spans="1:11" ht="42" customHeight="1">
      <c r="A3867" s="4" t="s">
        <v>9664</v>
      </c>
      <c r="B3867" s="5" t="s">
        <v>9664</v>
      </c>
      <c r="C3867" s="5" t="s">
        <v>26</v>
      </c>
      <c r="D3867" s="5" t="s">
        <v>27</v>
      </c>
      <c r="E3867" s="5" t="s">
        <v>303</v>
      </c>
      <c r="F3867" s="9">
        <v>8</v>
      </c>
      <c r="G3867" s="9">
        <v>79</v>
      </c>
      <c r="H3867" s="5" t="s">
        <v>21</v>
      </c>
      <c r="I3867" s="5" t="s">
        <v>9665</v>
      </c>
      <c r="J3867" s="12" t="str">
        <f>HYPERLINK("https://www.boe.es/gazeta/dias/1803/01/28/pdfs/GMD-1803-8.pdf#page=7","Abrir facsímil")</f>
        <v>Abrir facsímil</v>
      </c>
      <c r="K3867" s="15" t="s">
        <v>23</v>
      </c>
    </row>
    <row r="3868" spans="1:11" ht="42" customHeight="1">
      <c r="A3868" s="4" t="s">
        <v>9666</v>
      </c>
      <c r="B3868" s="5" t="s">
        <v>9666</v>
      </c>
      <c r="C3868" s="5" t="s">
        <v>26</v>
      </c>
      <c r="D3868" s="5" t="s">
        <v>27</v>
      </c>
      <c r="E3868" s="5" t="s">
        <v>882</v>
      </c>
      <c r="F3868" s="9">
        <v>60</v>
      </c>
      <c r="G3868" s="9">
        <v>656</v>
      </c>
      <c r="H3868" s="5" t="s">
        <v>21</v>
      </c>
      <c r="I3868" s="5" t="s">
        <v>9667</v>
      </c>
      <c r="J3868" s="12" t="str">
        <f>HYPERLINK("https://www.boe.es/gazeta/dias/1803/07/29/pdfs/GMD-1803-60.pdf#page=8","Abrir facsímil")</f>
        <v>Abrir facsímil</v>
      </c>
      <c r="K3868" s="15" t="s">
        <v>23</v>
      </c>
    </row>
    <row r="3869" spans="1:11" ht="42" customHeight="1">
      <c r="A3869" s="4" t="s">
        <v>9668</v>
      </c>
      <c r="B3869" s="5" t="s">
        <v>9668</v>
      </c>
      <c r="C3869" s="5" t="s">
        <v>46</v>
      </c>
      <c r="D3869" s="5" t="s">
        <v>19</v>
      </c>
      <c r="E3869" s="5" t="s">
        <v>61</v>
      </c>
      <c r="F3869" s="9">
        <v>67</v>
      </c>
      <c r="G3869" s="9">
        <v>731</v>
      </c>
      <c r="H3869" s="5" t="s">
        <v>21</v>
      </c>
      <c r="I3869" s="5" t="s">
        <v>9669</v>
      </c>
      <c r="J3869" s="12" t="str">
        <f>HYPERLINK("https://www.boe.es/gazeta/dias/1803/08/23/pdfs/GMD-1803-67.pdf#page=11","Abrir facsímil")</f>
        <v>Abrir facsímil</v>
      </c>
      <c r="K3869" s="15" t="s">
        <v>23</v>
      </c>
    </row>
    <row r="3870" spans="1:11" ht="42" customHeight="1">
      <c r="A3870" s="4" t="s">
        <v>9670</v>
      </c>
      <c r="B3870" s="5" t="s">
        <v>9670</v>
      </c>
      <c r="C3870" s="5" t="s">
        <v>26</v>
      </c>
      <c r="D3870" s="5" t="s">
        <v>27</v>
      </c>
      <c r="E3870" s="5" t="s">
        <v>289</v>
      </c>
      <c r="F3870" s="9">
        <v>38</v>
      </c>
      <c r="G3870" s="9">
        <v>401</v>
      </c>
      <c r="H3870" s="5" t="s">
        <v>21</v>
      </c>
      <c r="I3870" s="5" t="s">
        <v>9671</v>
      </c>
      <c r="J3870" s="12" t="str">
        <f>HYPERLINK("https://www.boe.es/gazeta/dias/1803/05/13/pdfs/GMD-1803-38.pdf#page=9","Abrir facsímil")</f>
        <v>Abrir facsímil</v>
      </c>
      <c r="K3870" s="15" t="s">
        <v>23</v>
      </c>
    </row>
    <row r="3871" spans="1:11" ht="42" customHeight="1">
      <c r="A3871" s="4" t="s">
        <v>9672</v>
      </c>
      <c r="B3871" s="5" t="s">
        <v>9672</v>
      </c>
      <c r="C3871" s="5" t="s">
        <v>51</v>
      </c>
      <c r="D3871" s="5" t="s">
        <v>52</v>
      </c>
      <c r="E3871" s="5" t="s">
        <v>1051</v>
      </c>
      <c r="F3871" s="9">
        <v>40</v>
      </c>
      <c r="G3871" s="9">
        <v>424</v>
      </c>
      <c r="H3871" s="5" t="s">
        <v>21</v>
      </c>
      <c r="I3871" s="5" t="s">
        <v>9673</v>
      </c>
      <c r="J3871" s="12" t="str">
        <f>HYPERLINK("https://www.boe.es/gazeta/dias/1803/05/20/pdfs/GMD-1803-40.pdf#page=8","Abrir facsímil")</f>
        <v>Abrir facsímil</v>
      </c>
      <c r="K3871" s="15" t="s">
        <v>23</v>
      </c>
    </row>
    <row r="3872" spans="1:11" ht="42" customHeight="1">
      <c r="A3872" s="4" t="s">
        <v>9674</v>
      </c>
      <c r="B3872" s="5" t="s">
        <v>9675</v>
      </c>
      <c r="C3872" s="5" t="s">
        <v>51</v>
      </c>
      <c r="D3872" s="5" t="s">
        <v>52</v>
      </c>
      <c r="E3872" s="5" t="s">
        <v>83</v>
      </c>
      <c r="F3872" s="9">
        <v>28</v>
      </c>
      <c r="G3872" s="9">
        <v>303</v>
      </c>
      <c r="H3872" s="5" t="s">
        <v>21</v>
      </c>
      <c r="I3872" s="5" t="s">
        <v>9676</v>
      </c>
      <c r="J3872" s="12" t="str">
        <f>HYPERLINK("https://www.boe.es/gazeta/dias/1803/04/08/pdfs/GMD-1803-28.pdf#page=7","Abrir facsímil")</f>
        <v>Abrir facsímil</v>
      </c>
      <c r="K3872" s="15" t="s">
        <v>23</v>
      </c>
    </row>
    <row r="3873" spans="1:11" ht="42" customHeight="1">
      <c r="A3873" s="4" t="s">
        <v>9677</v>
      </c>
      <c r="B3873" s="5" t="s">
        <v>9678</v>
      </c>
      <c r="C3873" s="5" t="s">
        <v>26</v>
      </c>
      <c r="D3873" s="5" t="s">
        <v>27</v>
      </c>
      <c r="E3873" s="5" t="s">
        <v>152</v>
      </c>
      <c r="F3873" s="9">
        <v>16</v>
      </c>
      <c r="G3873" s="9">
        <v>166</v>
      </c>
      <c r="H3873" s="5" t="s">
        <v>21</v>
      </c>
      <c r="I3873" s="5" t="s">
        <v>9679</v>
      </c>
      <c r="J3873" s="12" t="str">
        <f>HYPERLINK("https://www.boe.es/gazeta/dias/1803/02/25/pdfs/GMD-1803-16.pdf#page=6","Abrir facsímil")</f>
        <v>Abrir facsímil</v>
      </c>
      <c r="K3873" s="15" t="s">
        <v>23</v>
      </c>
    </row>
    <row r="3874" spans="1:11" ht="42" customHeight="1">
      <c r="A3874" s="4" t="s">
        <v>9680</v>
      </c>
      <c r="B3874" s="5" t="s">
        <v>9681</v>
      </c>
      <c r="C3874" s="5" t="s">
        <v>51</v>
      </c>
      <c r="D3874" s="5" t="s">
        <v>52</v>
      </c>
      <c r="E3874" s="5" t="s">
        <v>373</v>
      </c>
      <c r="F3874" s="9">
        <v>77</v>
      </c>
      <c r="G3874" s="9">
        <v>833</v>
      </c>
      <c r="H3874" s="5" t="s">
        <v>21</v>
      </c>
      <c r="I3874" s="5" t="s">
        <v>9682</v>
      </c>
      <c r="J3874" s="12" t="str">
        <f>HYPERLINK("https://www.boe.es/gazeta/dias/1803/09/23/pdfs/GMD-1803-77.pdf#page=9","Abrir facsímil")</f>
        <v>Abrir facsímil</v>
      </c>
      <c r="K3874" s="15" t="s">
        <v>23</v>
      </c>
    </row>
    <row r="3875" spans="1:11" ht="42" customHeight="1">
      <c r="A3875" s="4" t="s">
        <v>9683</v>
      </c>
      <c r="B3875" s="5" t="s">
        <v>9683</v>
      </c>
      <c r="C3875" s="5" t="s">
        <v>26</v>
      </c>
      <c r="D3875" s="5" t="s">
        <v>27</v>
      </c>
      <c r="E3875" s="5" t="s">
        <v>231</v>
      </c>
      <c r="F3875" s="9">
        <v>26</v>
      </c>
      <c r="G3875" s="9">
        <v>275</v>
      </c>
      <c r="H3875" s="5" t="s">
        <v>21</v>
      </c>
      <c r="I3875" s="5" t="s">
        <v>9684</v>
      </c>
      <c r="J3875" s="12" t="str">
        <f>HYPERLINK("https://www.boe.es/gazeta/dias/1803/04/01/pdfs/GMD-1803-26.pdf#page=3","Abrir facsímil")</f>
        <v>Abrir facsímil</v>
      </c>
      <c r="K3875" s="15" t="s">
        <v>23</v>
      </c>
    </row>
    <row r="3876" spans="1:11" ht="42" customHeight="1">
      <c r="A3876" s="4" t="s">
        <v>9685</v>
      </c>
      <c r="B3876" s="5" t="s">
        <v>9686</v>
      </c>
      <c r="C3876" s="5" t="s">
        <v>80</v>
      </c>
      <c r="D3876" s="5" t="s">
        <v>81</v>
      </c>
      <c r="E3876" s="5" t="s">
        <v>263</v>
      </c>
      <c r="F3876" s="9">
        <v>75</v>
      </c>
      <c r="G3876" s="9">
        <v>812</v>
      </c>
      <c r="H3876" s="5" t="s">
        <v>21</v>
      </c>
      <c r="I3876" s="5" t="s">
        <v>9687</v>
      </c>
      <c r="J3876" s="12" t="str">
        <f>HYPERLINK("https://www.boe.es/gazeta/dias/1803/09/16/pdfs/GMD-1803-75.pdf#page=8","Abrir facsímil")</f>
        <v>Abrir facsímil</v>
      </c>
      <c r="K3876" s="15" t="s">
        <v>23</v>
      </c>
    </row>
    <row r="3877" spans="1:11" ht="42" customHeight="1">
      <c r="A3877" s="4" t="s">
        <v>9688</v>
      </c>
      <c r="B3877" s="5" t="s">
        <v>9689</v>
      </c>
      <c r="C3877" s="5" t="s">
        <v>80</v>
      </c>
      <c r="D3877" s="5" t="s">
        <v>81</v>
      </c>
      <c r="E3877" s="5" t="s">
        <v>258</v>
      </c>
      <c r="F3877" s="9">
        <v>7</v>
      </c>
      <c r="G3877" s="9">
        <v>72</v>
      </c>
      <c r="H3877" s="5" t="s">
        <v>21</v>
      </c>
      <c r="I3877" s="5" t="s">
        <v>9690</v>
      </c>
      <c r="J3877" s="12" t="str">
        <f>HYPERLINK("https://www.boe.es/gazeta/dias/1803/01/25/pdfs/GMD-1803-7.pdf#page=12","Abrir facsímil")</f>
        <v>Abrir facsímil</v>
      </c>
      <c r="K3877" s="15" t="s">
        <v>23</v>
      </c>
    </row>
    <row r="3878" spans="1:11" ht="42" customHeight="1">
      <c r="A3878" s="4" t="s">
        <v>9691</v>
      </c>
      <c r="B3878" s="5" t="s">
        <v>9691</v>
      </c>
      <c r="C3878" s="5" t="s">
        <v>26</v>
      </c>
      <c r="D3878" s="5" t="s">
        <v>27</v>
      </c>
      <c r="E3878" s="5" t="s">
        <v>71</v>
      </c>
      <c r="F3878" s="9">
        <v>39</v>
      </c>
      <c r="G3878" s="9">
        <v>413</v>
      </c>
      <c r="H3878" s="5" t="s">
        <v>21</v>
      </c>
      <c r="I3878" s="5" t="s">
        <v>9692</v>
      </c>
      <c r="J3878" s="12" t="str">
        <f>HYPERLINK("https://www.boe.es/gazeta/dias/1803/05/17/pdfs/GMD-1803-39.pdf#page=9","Abrir facsímil")</f>
        <v>Abrir facsímil</v>
      </c>
      <c r="K3878" s="15" t="s">
        <v>23</v>
      </c>
    </row>
    <row r="3879" spans="1:11" ht="42" customHeight="1">
      <c r="A3879" s="4" t="s">
        <v>9693</v>
      </c>
      <c r="B3879" s="5" t="s">
        <v>9693</v>
      </c>
      <c r="C3879" s="5" t="s">
        <v>51</v>
      </c>
      <c r="D3879" s="5" t="s">
        <v>52</v>
      </c>
      <c r="E3879" s="5" t="s">
        <v>148</v>
      </c>
      <c r="F3879" s="9">
        <v>15</v>
      </c>
      <c r="G3879" s="9">
        <v>154</v>
      </c>
      <c r="H3879" s="5" t="s">
        <v>21</v>
      </c>
      <c r="I3879" s="5" t="s">
        <v>9694</v>
      </c>
      <c r="J3879" s="12" t="str">
        <f>HYPERLINK("https://www.boe.es/gazeta/dias/1803/02/22/pdfs/GMD-1803-15.pdf#page=6","Abrir facsímil")</f>
        <v>Abrir facsímil</v>
      </c>
      <c r="K3879" s="15" t="s">
        <v>23</v>
      </c>
    </row>
    <row r="3880" spans="1:11" ht="42" customHeight="1">
      <c r="A3880" s="4" t="s">
        <v>9695</v>
      </c>
      <c r="B3880" s="5" t="s">
        <v>9696</v>
      </c>
      <c r="C3880" s="5" t="s">
        <v>40</v>
      </c>
      <c r="D3880" s="5" t="s">
        <v>41</v>
      </c>
      <c r="E3880" s="5" t="s">
        <v>132</v>
      </c>
      <c r="F3880" s="9">
        <v>58</v>
      </c>
      <c r="G3880" s="9">
        <v>639</v>
      </c>
      <c r="H3880" s="5" t="s">
        <v>21</v>
      </c>
      <c r="I3880" s="5" t="s">
        <v>9697</v>
      </c>
      <c r="J3880" s="12" t="str">
        <f>HYPERLINK("https://www.boe.es/gazeta/dias/1803/07/22/pdfs/GMD-1803-58.pdf#page=11","Abrir facsímil")</f>
        <v>Abrir facsímil</v>
      </c>
      <c r="K3880" s="15" t="s">
        <v>23</v>
      </c>
    </row>
    <row r="3881" spans="1:11" ht="42" customHeight="1">
      <c r="A3881" s="4" t="s">
        <v>9698</v>
      </c>
      <c r="B3881" s="5" t="s">
        <v>9698</v>
      </c>
      <c r="C3881" s="5" t="s">
        <v>40</v>
      </c>
      <c r="D3881" s="5" t="s">
        <v>41</v>
      </c>
      <c r="E3881" s="5" t="s">
        <v>42</v>
      </c>
      <c r="F3881" s="9">
        <v>10</v>
      </c>
      <c r="G3881" s="9">
        <v>98</v>
      </c>
      <c r="H3881" s="5" t="s">
        <v>21</v>
      </c>
      <c r="I3881" s="5" t="s">
        <v>9699</v>
      </c>
      <c r="J3881" s="12" t="str">
        <f>HYPERLINK("https://www.boe.es/gazeta/dias/1803/02/04/pdfs/GMD-1803-10.pdf#page=2","Abrir facsímil")</f>
        <v>Abrir facsímil</v>
      </c>
      <c r="K3881" s="15" t="s">
        <v>23</v>
      </c>
    </row>
    <row r="3882" spans="1:11" ht="42" customHeight="1">
      <c r="A3882" s="4" t="s">
        <v>9700</v>
      </c>
      <c r="B3882" s="5" t="s">
        <v>9700</v>
      </c>
      <c r="C3882" s="5" t="s">
        <v>26</v>
      </c>
      <c r="D3882" s="5" t="s">
        <v>27</v>
      </c>
      <c r="E3882" s="5" t="s">
        <v>630</v>
      </c>
      <c r="F3882" s="9">
        <v>85</v>
      </c>
      <c r="G3882" s="9">
        <v>912</v>
      </c>
      <c r="H3882" s="5" t="s">
        <v>21</v>
      </c>
      <c r="I3882" s="5" t="s">
        <v>9701</v>
      </c>
      <c r="J3882" s="12" t="str">
        <f>HYPERLINK("https://www.boe.es/gazeta/dias/1803/10/21/pdfs/GMD-1803-85.pdf#page=4","Abrir facsímil")</f>
        <v>Abrir facsímil</v>
      </c>
      <c r="K3882" s="15" t="s">
        <v>23</v>
      </c>
    </row>
    <row r="3883" spans="1:11" ht="42" customHeight="1">
      <c r="A3883" s="4" t="s">
        <v>9702</v>
      </c>
      <c r="B3883" s="5" t="s">
        <v>9703</v>
      </c>
      <c r="C3883" s="5" t="s">
        <v>26</v>
      </c>
      <c r="D3883" s="5" t="s">
        <v>27</v>
      </c>
      <c r="E3883" s="5" t="s">
        <v>321</v>
      </c>
      <c r="F3883" s="9">
        <v>94</v>
      </c>
      <c r="G3883" s="9">
        <v>1006</v>
      </c>
      <c r="H3883" s="5" t="s">
        <v>21</v>
      </c>
      <c r="I3883" s="5" t="s">
        <v>9704</v>
      </c>
      <c r="J3883" s="12" t="str">
        <f>HYPERLINK("https://www.boe.es/gazeta/dias/1803/11/22/pdfs/GMD-1803-94.pdf#page=6","Abrir facsímil")</f>
        <v>Abrir facsímil</v>
      </c>
      <c r="K3883" s="15" t="s">
        <v>23</v>
      </c>
    </row>
    <row r="3884" spans="1:11" ht="42" customHeight="1">
      <c r="A3884" s="4" t="s">
        <v>9705</v>
      </c>
      <c r="B3884" s="5" t="s">
        <v>9706</v>
      </c>
      <c r="C3884" s="5" t="s">
        <v>46</v>
      </c>
      <c r="D3884" s="5" t="s">
        <v>19</v>
      </c>
      <c r="E3884" s="5" t="s">
        <v>124</v>
      </c>
      <c r="F3884" s="9">
        <v>20</v>
      </c>
      <c r="G3884" s="9">
        <v>207</v>
      </c>
      <c r="H3884" s="5" t="s">
        <v>21</v>
      </c>
      <c r="I3884" s="5" t="s">
        <v>9707</v>
      </c>
      <c r="J3884" s="12" t="str">
        <f>HYPERLINK("https://www.boe.es/gazeta/dias/1803/03/11/pdfs/GMD-1803-20.pdf#page=3","Abrir facsímil")</f>
        <v>Abrir facsímil</v>
      </c>
      <c r="K3884" s="15" t="s">
        <v>23</v>
      </c>
    </row>
    <row r="3885" spans="1:11" ht="42" customHeight="1">
      <c r="A3885" s="4" t="s">
        <v>9708</v>
      </c>
      <c r="B3885" s="5" t="s">
        <v>9709</v>
      </c>
      <c r="C3885" s="5" t="s">
        <v>51</v>
      </c>
      <c r="D3885" s="5" t="s">
        <v>52</v>
      </c>
      <c r="E3885" s="5" t="s">
        <v>285</v>
      </c>
      <c r="F3885" s="9">
        <v>5</v>
      </c>
      <c r="G3885" s="9">
        <v>46</v>
      </c>
      <c r="H3885" s="5" t="s">
        <v>21</v>
      </c>
      <c r="I3885" s="5" t="s">
        <v>9710</v>
      </c>
      <c r="J3885" s="12" t="str">
        <f>HYPERLINK("https://www.boe.es/gazeta/dias/1803/01/18/pdfs/GMD-1803-5.pdf#page=10","Abrir facsímil")</f>
        <v>Abrir facsímil</v>
      </c>
      <c r="K3885" s="15" t="s">
        <v>23</v>
      </c>
    </row>
    <row r="3886" spans="1:11" ht="42" customHeight="1">
      <c r="A3886" s="4" t="s">
        <v>9711</v>
      </c>
      <c r="B3886" s="5" t="s">
        <v>9712</v>
      </c>
      <c r="C3886" s="5" t="s">
        <v>26</v>
      </c>
      <c r="D3886" s="5" t="s">
        <v>27</v>
      </c>
      <c r="E3886" s="5" t="s">
        <v>373</v>
      </c>
      <c r="F3886" s="9">
        <v>77</v>
      </c>
      <c r="G3886" s="9">
        <v>834</v>
      </c>
      <c r="H3886" s="5" t="s">
        <v>21</v>
      </c>
      <c r="I3886" s="5" t="s">
        <v>9713</v>
      </c>
      <c r="J3886" s="12" t="str">
        <f>HYPERLINK("https://www.boe.es/gazeta/dias/1803/09/23/pdfs/GMD-1803-77.pdf#page=10","Abrir facsímil")</f>
        <v>Abrir facsímil</v>
      </c>
      <c r="K3886" s="15" t="s">
        <v>23</v>
      </c>
    </row>
    <row r="3887" spans="1:11" ht="42" customHeight="1">
      <c r="A3887" s="4" t="s">
        <v>9714</v>
      </c>
      <c r="B3887" s="5" t="s">
        <v>9715</v>
      </c>
      <c r="C3887" s="5" t="s">
        <v>18</v>
      </c>
      <c r="D3887" s="5" t="s">
        <v>19</v>
      </c>
      <c r="E3887" s="5" t="s">
        <v>395</v>
      </c>
      <c r="F3887" s="9">
        <v>13</v>
      </c>
      <c r="G3887" s="9">
        <v>133</v>
      </c>
      <c r="H3887" s="5" t="s">
        <v>21</v>
      </c>
      <c r="I3887" s="5" t="s">
        <v>9716</v>
      </c>
      <c r="J3887" s="12" t="str">
        <f>HYPERLINK("https://www.boe.es/gazeta/dias/1803/02/15/pdfs/GMD-1803-13.pdf#page=9","Abrir facsímil")</f>
        <v>Abrir facsímil</v>
      </c>
      <c r="K3887" s="15" t="s">
        <v>23</v>
      </c>
    </row>
    <row r="3888" spans="1:11" ht="42" customHeight="1">
      <c r="A3888" s="4" t="s">
        <v>9717</v>
      </c>
      <c r="B3888" s="5" t="s">
        <v>9718</v>
      </c>
      <c r="C3888" s="5" t="s">
        <v>46</v>
      </c>
      <c r="D3888" s="5" t="s">
        <v>19</v>
      </c>
      <c r="E3888" s="5" t="s">
        <v>480</v>
      </c>
      <c r="F3888" s="9">
        <v>87</v>
      </c>
      <c r="G3888" s="9">
        <v>940</v>
      </c>
      <c r="H3888" s="5" t="s">
        <v>21</v>
      </c>
      <c r="I3888" s="5" t="s">
        <v>9719</v>
      </c>
      <c r="J3888" s="12" t="str">
        <f>HYPERLINK("https://www.boe.es/gazeta/dias/1803/10/28/pdfs/GMD-1803-87.pdf#page=8","Abrir facsímil")</f>
        <v>Abrir facsímil</v>
      </c>
      <c r="K3888" s="15" t="s">
        <v>23</v>
      </c>
    </row>
    <row r="3889" spans="1:11" ht="42" customHeight="1">
      <c r="A3889" s="4" t="s">
        <v>9720</v>
      </c>
      <c r="B3889" s="5" t="s">
        <v>9721</v>
      </c>
      <c r="C3889" s="5" t="s">
        <v>51</v>
      </c>
      <c r="D3889" s="5" t="s">
        <v>52</v>
      </c>
      <c r="E3889" s="5" t="s">
        <v>278</v>
      </c>
      <c r="F3889" s="9">
        <v>46</v>
      </c>
      <c r="G3889" s="9">
        <v>486</v>
      </c>
      <c r="H3889" s="5" t="s">
        <v>21</v>
      </c>
      <c r="I3889" s="5" t="s">
        <v>9722</v>
      </c>
      <c r="J3889" s="12" t="str">
        <f>HYPERLINK("https://www.boe.es/gazeta/dias/1803/06/10/pdfs/GMD-1803-46.pdf#page=10","Abrir facsímil")</f>
        <v>Abrir facsímil</v>
      </c>
      <c r="K3889" s="15" t="s">
        <v>23</v>
      </c>
    </row>
    <row r="3890" spans="1:11" ht="42" customHeight="1">
      <c r="A3890" s="4" t="s">
        <v>9723</v>
      </c>
      <c r="B3890" s="5" t="s">
        <v>9724</v>
      </c>
      <c r="C3890" s="5" t="s">
        <v>26</v>
      </c>
      <c r="D3890" s="5" t="s">
        <v>27</v>
      </c>
      <c r="E3890" s="5" t="s">
        <v>211</v>
      </c>
      <c r="F3890" s="9">
        <v>71</v>
      </c>
      <c r="G3890" s="9">
        <v>778</v>
      </c>
      <c r="H3890" s="5" t="s">
        <v>21</v>
      </c>
      <c r="I3890" s="5" t="s">
        <v>9725</v>
      </c>
      <c r="J3890" s="12" t="str">
        <f>HYPERLINK("https://www.boe.es/gazeta/dias/1803/09/06/pdfs/GMD-1803-71.pdf#page=10","Abrir facsímil")</f>
        <v>Abrir facsímil</v>
      </c>
      <c r="K3890" s="15" t="s">
        <v>23</v>
      </c>
    </row>
    <row r="3891" spans="1:11" ht="42" customHeight="1">
      <c r="A3891" s="4" t="s">
        <v>9726</v>
      </c>
      <c r="B3891" s="5" t="s">
        <v>9727</v>
      </c>
      <c r="C3891" s="5" t="s">
        <v>80</v>
      </c>
      <c r="D3891" s="5" t="s">
        <v>81</v>
      </c>
      <c r="E3891" s="5" t="s">
        <v>571</v>
      </c>
      <c r="F3891" s="9">
        <v>103</v>
      </c>
      <c r="G3891" s="9">
        <v>1108</v>
      </c>
      <c r="H3891" s="5" t="s">
        <v>21</v>
      </c>
      <c r="I3891" s="5" t="s">
        <v>9728</v>
      </c>
      <c r="J3891" s="12" t="str">
        <f>HYPERLINK("https://www.boe.es/gazeta/dias/1803/12/23/pdfs/GMD-1803-103.pdf#page=8","Abrir facsímil")</f>
        <v>Abrir facsímil</v>
      </c>
      <c r="K3891" s="15" t="s">
        <v>23</v>
      </c>
    </row>
    <row r="3892" spans="1:11" ht="42" customHeight="1">
      <c r="A3892" s="4" t="s">
        <v>9729</v>
      </c>
      <c r="B3892" s="5" t="s">
        <v>9730</v>
      </c>
      <c r="C3892" s="5" t="s">
        <v>18</v>
      </c>
      <c r="D3892" s="5" t="s">
        <v>19</v>
      </c>
      <c r="E3892" s="5" t="s">
        <v>250</v>
      </c>
      <c r="F3892" s="9">
        <v>4</v>
      </c>
      <c r="G3892" s="9">
        <v>35</v>
      </c>
      <c r="H3892" s="5" t="s">
        <v>21</v>
      </c>
      <c r="I3892" s="5" t="s">
        <v>9731</v>
      </c>
      <c r="J3892" s="12" t="str">
        <f>HYPERLINK("https://www.boe.es/gazeta/dias/1803/01/14/pdfs/GMD-1803-4.pdf#page=7","Abrir facsímil")</f>
        <v>Abrir facsímil</v>
      </c>
      <c r="K3892" s="15" t="s">
        <v>23</v>
      </c>
    </row>
    <row r="3893" spans="1:11" ht="42" customHeight="1">
      <c r="A3893" s="4" t="s">
        <v>9732</v>
      </c>
      <c r="B3893" s="5" t="s">
        <v>9733</v>
      </c>
      <c r="C3893" s="5" t="s">
        <v>18</v>
      </c>
      <c r="D3893" s="5" t="s">
        <v>19</v>
      </c>
      <c r="E3893" s="5" t="s">
        <v>514</v>
      </c>
      <c r="F3893" s="9">
        <v>42</v>
      </c>
      <c r="G3893" s="9">
        <v>438</v>
      </c>
      <c r="H3893" s="5" t="s">
        <v>21</v>
      </c>
      <c r="I3893" s="5" t="s">
        <v>9734</v>
      </c>
      <c r="J3893" s="12" t="str">
        <f>HYPERLINK("https://www.boe.es/gazeta/dias/1803/05/27/pdfs/GMD-1803-42.pdf#page=6","Abrir facsímil")</f>
        <v>Abrir facsímil</v>
      </c>
      <c r="K3893" s="15" t="s">
        <v>23</v>
      </c>
    </row>
    <row r="3894" spans="1:11" ht="42" customHeight="1">
      <c r="A3894" s="4" t="s">
        <v>9735</v>
      </c>
      <c r="B3894" s="5" t="s">
        <v>9736</v>
      </c>
      <c r="C3894" s="5" t="s">
        <v>51</v>
      </c>
      <c r="D3894" s="5" t="s">
        <v>52</v>
      </c>
      <c r="E3894" s="5" t="s">
        <v>373</v>
      </c>
      <c r="F3894" s="9">
        <v>77</v>
      </c>
      <c r="G3894" s="9">
        <v>834</v>
      </c>
      <c r="H3894" s="5" t="s">
        <v>21</v>
      </c>
      <c r="I3894" s="5" t="s">
        <v>9737</v>
      </c>
      <c r="J3894" s="12" t="str">
        <f>HYPERLINK("https://www.boe.es/gazeta/dias/1803/09/23/pdfs/GMD-1803-77.pdf#page=10","Abrir facsímil")</f>
        <v>Abrir facsímil</v>
      </c>
      <c r="K3894" s="15" t="s">
        <v>23</v>
      </c>
    </row>
    <row r="3895" spans="1:11" ht="42" customHeight="1">
      <c r="A3895" s="4" t="s">
        <v>9738</v>
      </c>
      <c r="B3895" s="5" t="s">
        <v>9739</v>
      </c>
      <c r="C3895" s="5" t="s">
        <v>26</v>
      </c>
      <c r="D3895" s="5" t="s">
        <v>27</v>
      </c>
      <c r="E3895" s="5" t="s">
        <v>332</v>
      </c>
      <c r="F3895" s="9">
        <v>11</v>
      </c>
      <c r="G3895" s="9">
        <v>110</v>
      </c>
      <c r="H3895" s="5" t="s">
        <v>21</v>
      </c>
      <c r="I3895" s="5" t="s">
        <v>9740</v>
      </c>
      <c r="J3895" s="12" t="str">
        <f>HYPERLINK("https://www.boe.es/gazeta/dias/1803/02/08/pdfs/GMD-1803-11.pdf#page=6","Abrir facsímil")</f>
        <v>Abrir facsímil</v>
      </c>
      <c r="K3895" s="15" t="s">
        <v>23</v>
      </c>
    </row>
    <row r="3896" spans="1:11" ht="42" customHeight="1">
      <c r="A3896" s="4" t="s">
        <v>9741</v>
      </c>
      <c r="B3896" s="5" t="s">
        <v>9742</v>
      </c>
      <c r="C3896" s="5" t="s">
        <v>51</v>
      </c>
      <c r="D3896" s="5" t="s">
        <v>52</v>
      </c>
      <c r="E3896" s="5" t="s">
        <v>174</v>
      </c>
      <c r="F3896" s="9">
        <v>21</v>
      </c>
      <c r="G3896" s="9">
        <v>226</v>
      </c>
      <c r="H3896" s="5" t="s">
        <v>21</v>
      </c>
      <c r="I3896" s="5" t="s">
        <v>9743</v>
      </c>
      <c r="J3896" s="12" t="str">
        <f>HYPERLINK("https://www.boe.es/gazeta/dias/1803/03/15/pdfs/GMD-1803-21.pdf#page=10","Abrir facsímil")</f>
        <v>Abrir facsímil</v>
      </c>
      <c r="K3896" s="15" t="s">
        <v>23</v>
      </c>
    </row>
    <row r="3897" spans="1:11" ht="42" customHeight="1">
      <c r="A3897" s="4" t="s">
        <v>9741</v>
      </c>
      <c r="B3897" s="5" t="s">
        <v>9742</v>
      </c>
      <c r="C3897" s="5" t="s">
        <v>225</v>
      </c>
      <c r="D3897" s="5" t="s">
        <v>226</v>
      </c>
      <c r="E3897" s="5" t="s">
        <v>609</v>
      </c>
      <c r="F3897" s="9">
        <v>57</v>
      </c>
      <c r="G3897" s="9">
        <v>622</v>
      </c>
      <c r="H3897" s="5" t="s">
        <v>21</v>
      </c>
      <c r="I3897" s="5" t="s">
        <v>9744</v>
      </c>
      <c r="J3897" s="12" t="str">
        <f>HYPERLINK("https://www.boe.es/gazeta/dias/1803/07/19/pdfs/GMD-C-1803-57.pdf#page=2","Abrir facsímil")</f>
        <v>Abrir facsímil</v>
      </c>
      <c r="K3897" s="15" t="s">
        <v>23</v>
      </c>
    </row>
    <row r="3898" spans="1:11" ht="42" customHeight="1">
      <c r="A3898" s="4" t="s">
        <v>9741</v>
      </c>
      <c r="B3898" s="5" t="s">
        <v>9742</v>
      </c>
      <c r="C3898" s="5" t="s">
        <v>51</v>
      </c>
      <c r="D3898" s="5" t="s">
        <v>52</v>
      </c>
      <c r="E3898" s="5" t="s">
        <v>113</v>
      </c>
      <c r="F3898" s="9">
        <v>93</v>
      </c>
      <c r="G3898" s="9">
        <v>997</v>
      </c>
      <c r="H3898" s="5" t="s">
        <v>21</v>
      </c>
      <c r="I3898" s="5" t="s">
        <v>9745</v>
      </c>
      <c r="J3898" s="12" t="str">
        <f>HYPERLINK("https://www.boe.es/gazeta/dias/1803/11/18/pdfs/GMD-1803-93.pdf#page=9","Abrir facsímil")</f>
        <v>Abrir facsímil</v>
      </c>
      <c r="K3898" s="15" t="s">
        <v>23</v>
      </c>
    </row>
    <row r="3899" spans="1:11" ht="42" customHeight="1">
      <c r="A3899" s="4" t="s">
        <v>9746</v>
      </c>
      <c r="B3899" s="5" t="s">
        <v>9747</v>
      </c>
      <c r="C3899" s="5" t="s">
        <v>80</v>
      </c>
      <c r="D3899" s="5" t="s">
        <v>81</v>
      </c>
      <c r="E3899" s="5" t="s">
        <v>1846</v>
      </c>
      <c r="F3899" s="9">
        <v>89</v>
      </c>
      <c r="G3899" s="9">
        <v>959</v>
      </c>
      <c r="H3899" s="5" t="s">
        <v>21</v>
      </c>
      <c r="I3899" s="5" t="s">
        <v>9748</v>
      </c>
      <c r="J3899" s="12" t="str">
        <f>HYPERLINK("https://www.boe.es/gazeta/dias/1803/11/04/pdfs/GMD-1803-89.pdf#page=7","Abrir facsímil")</f>
        <v>Abrir facsímil</v>
      </c>
      <c r="K3899" s="15" t="s">
        <v>23</v>
      </c>
    </row>
    <row r="3900" spans="1:11" ht="42" customHeight="1">
      <c r="A3900" s="4" t="s">
        <v>9749</v>
      </c>
      <c r="B3900" s="5" t="s">
        <v>9750</v>
      </c>
      <c r="C3900" s="5" t="s">
        <v>51</v>
      </c>
      <c r="D3900" s="5" t="s">
        <v>52</v>
      </c>
      <c r="E3900" s="5" t="s">
        <v>53</v>
      </c>
      <c r="F3900" s="9">
        <v>99</v>
      </c>
      <c r="G3900" s="9">
        <v>1063</v>
      </c>
      <c r="H3900" s="5" t="s">
        <v>21</v>
      </c>
      <c r="I3900" s="5" t="s">
        <v>9751</v>
      </c>
      <c r="J3900" s="12" t="str">
        <f>HYPERLINK("https://www.boe.es/gazeta/dias/1803/12/09/pdfs/GMD-1803-99.pdf#page=11","Abrir facsímil")</f>
        <v>Abrir facsímil</v>
      </c>
      <c r="K3900" s="15" t="s">
        <v>23</v>
      </c>
    </row>
    <row r="3901" spans="1:11" ht="42" customHeight="1">
      <c r="A3901" s="4" t="s">
        <v>9752</v>
      </c>
      <c r="B3901" s="5" t="s">
        <v>9752</v>
      </c>
      <c r="C3901" s="5" t="s">
        <v>40</v>
      </c>
      <c r="D3901" s="5" t="s">
        <v>41</v>
      </c>
      <c r="E3901" s="5" t="s">
        <v>395</v>
      </c>
      <c r="F3901" s="9">
        <v>13</v>
      </c>
      <c r="G3901" s="9">
        <v>125</v>
      </c>
      <c r="H3901" s="5" t="s">
        <v>21</v>
      </c>
      <c r="I3901" s="5" t="s">
        <v>9753</v>
      </c>
      <c r="J3901" s="12" t="str">
        <f>HYPERLINK("https://www.boe.es/gazeta/dias/1803/02/15/pdfs/GMD-1803-13.pdf#page=1","Abrir facsímil")</f>
        <v>Abrir facsímil</v>
      </c>
      <c r="K3901" s="15" t="s">
        <v>23</v>
      </c>
    </row>
    <row r="3902" spans="1:11" ht="42" customHeight="1">
      <c r="A3902" s="4" t="s">
        <v>9754</v>
      </c>
      <c r="B3902" s="5" t="s">
        <v>9755</v>
      </c>
      <c r="C3902" s="5" t="s">
        <v>26</v>
      </c>
      <c r="D3902" s="5" t="s">
        <v>27</v>
      </c>
      <c r="E3902" s="5" t="s">
        <v>109</v>
      </c>
      <c r="F3902" s="9">
        <v>102</v>
      </c>
      <c r="G3902" s="9">
        <v>1098</v>
      </c>
      <c r="H3902" s="5" t="s">
        <v>21</v>
      </c>
      <c r="I3902" s="5" t="s">
        <v>9756</v>
      </c>
      <c r="J3902" s="12" t="str">
        <f>HYPERLINK("https://www.boe.es/gazeta/dias/1803/12/20/pdfs/GMD-1803-102.pdf#page=10","Abrir facsímil")</f>
        <v>Abrir facsímil</v>
      </c>
      <c r="K3902" s="15" t="s">
        <v>23</v>
      </c>
    </row>
    <row r="3903" spans="1:11" ht="42" customHeight="1">
      <c r="A3903" s="4" t="s">
        <v>9757</v>
      </c>
      <c r="B3903" s="5" t="s">
        <v>9758</v>
      </c>
      <c r="C3903" s="5" t="s">
        <v>26</v>
      </c>
      <c r="D3903" s="5" t="s">
        <v>27</v>
      </c>
      <c r="E3903" s="5" t="s">
        <v>373</v>
      </c>
      <c r="F3903" s="9">
        <v>77</v>
      </c>
      <c r="G3903" s="9">
        <v>834</v>
      </c>
      <c r="H3903" s="5" t="s">
        <v>21</v>
      </c>
      <c r="I3903" s="5" t="s">
        <v>9759</v>
      </c>
      <c r="J3903" s="12" t="str">
        <f>HYPERLINK("https://www.boe.es/gazeta/dias/1803/09/23/pdfs/GMD-1803-77.pdf#page=10","Abrir facsímil")</f>
        <v>Abrir facsímil</v>
      </c>
      <c r="K3903" s="15" t="s">
        <v>23</v>
      </c>
    </row>
    <row r="3904" spans="1:11" ht="42" customHeight="1">
      <c r="A3904" s="4" t="s">
        <v>9760</v>
      </c>
      <c r="B3904" s="5" t="s">
        <v>9761</v>
      </c>
      <c r="C3904" s="5" t="s">
        <v>26</v>
      </c>
      <c r="D3904" s="5" t="s">
        <v>27</v>
      </c>
      <c r="E3904" s="5" t="s">
        <v>588</v>
      </c>
      <c r="F3904" s="9">
        <v>63</v>
      </c>
      <c r="G3904" s="9">
        <v>687</v>
      </c>
      <c r="H3904" s="5" t="s">
        <v>21</v>
      </c>
      <c r="I3904" s="5" t="s">
        <v>9762</v>
      </c>
      <c r="J3904" s="12" t="str">
        <f>HYPERLINK("https://www.boe.es/gazeta/dias/1803/08/09/pdfs/GMD-1803-63.pdf#page=7","Abrir facsímil")</f>
        <v>Abrir facsímil</v>
      </c>
      <c r="K3904" s="15" t="s">
        <v>23</v>
      </c>
    </row>
    <row r="3905" spans="1:11" ht="42" customHeight="1">
      <c r="A3905" s="4" t="s">
        <v>9763</v>
      </c>
      <c r="B3905" s="5" t="s">
        <v>9764</v>
      </c>
      <c r="C3905" s="5" t="s">
        <v>80</v>
      </c>
      <c r="D3905" s="5" t="s">
        <v>81</v>
      </c>
      <c r="E3905" s="5" t="s">
        <v>403</v>
      </c>
      <c r="F3905" s="9">
        <v>91</v>
      </c>
      <c r="G3905" s="9">
        <v>978</v>
      </c>
      <c r="H3905" s="5" t="s">
        <v>21</v>
      </c>
      <c r="I3905" s="5" t="s">
        <v>9765</v>
      </c>
      <c r="J3905" s="12" t="str">
        <f>HYPERLINK("https://www.boe.es/gazeta/dias/1803/11/11/pdfs/GMD-1803-91.pdf#page=10","Abrir facsímil")</f>
        <v>Abrir facsímil</v>
      </c>
      <c r="K3905" s="15" t="s">
        <v>23</v>
      </c>
    </row>
    <row r="3906" spans="1:11" ht="42" customHeight="1">
      <c r="A3906" s="4" t="s">
        <v>9766</v>
      </c>
      <c r="B3906" s="5" t="s">
        <v>9767</v>
      </c>
      <c r="C3906" s="5" t="s">
        <v>26</v>
      </c>
      <c r="D3906" s="5" t="s">
        <v>27</v>
      </c>
      <c r="E3906" s="5" t="s">
        <v>71</v>
      </c>
      <c r="F3906" s="9">
        <v>39</v>
      </c>
      <c r="G3906" s="9">
        <v>412</v>
      </c>
      <c r="H3906" s="5" t="s">
        <v>21</v>
      </c>
      <c r="I3906" s="5" t="s">
        <v>9768</v>
      </c>
      <c r="J3906" s="12" t="str">
        <f>HYPERLINK("https://www.boe.es/gazeta/dias/1803/05/17/pdfs/GMD-1803-39.pdf#page=8","Abrir facsímil")</f>
        <v>Abrir facsímil</v>
      </c>
      <c r="K3906" s="15" t="s">
        <v>23</v>
      </c>
    </row>
    <row r="3907" spans="1:11" ht="42" customHeight="1">
      <c r="A3907" s="4" t="s">
        <v>9769</v>
      </c>
      <c r="B3907" s="5" t="s">
        <v>9770</v>
      </c>
      <c r="C3907" s="5" t="s">
        <v>80</v>
      </c>
      <c r="D3907" s="5" t="s">
        <v>81</v>
      </c>
      <c r="E3907" s="5" t="s">
        <v>619</v>
      </c>
      <c r="F3907" s="9">
        <v>53</v>
      </c>
      <c r="G3907" s="9">
        <v>580</v>
      </c>
      <c r="H3907" s="5" t="s">
        <v>21</v>
      </c>
      <c r="I3907" s="5" t="s">
        <v>9771</v>
      </c>
      <c r="J3907" s="12" t="str">
        <f>HYPERLINK("https://www.boe.es/gazeta/dias/1803/07/05/pdfs/GMD-1803-53.pdf#page=12","Abrir facsímil")</f>
        <v>Abrir facsímil</v>
      </c>
      <c r="K3907" s="15" t="s">
        <v>23</v>
      </c>
    </row>
    <row r="3908" spans="1:11" ht="42" customHeight="1">
      <c r="A3908" s="4" t="s">
        <v>9772</v>
      </c>
      <c r="B3908" s="5" t="s">
        <v>9773</v>
      </c>
      <c r="C3908" s="5" t="s">
        <v>18</v>
      </c>
      <c r="D3908" s="5" t="s">
        <v>19</v>
      </c>
      <c r="E3908" s="5" t="s">
        <v>496</v>
      </c>
      <c r="F3908" s="9">
        <v>90</v>
      </c>
      <c r="G3908" s="9">
        <v>965</v>
      </c>
      <c r="H3908" s="5" t="s">
        <v>21</v>
      </c>
      <c r="I3908" s="5" t="s">
        <v>9774</v>
      </c>
      <c r="J3908" s="12" t="str">
        <f>HYPERLINK("https://www.boe.es/gazeta/dias/1803/11/08/pdfs/GMD-1803-90.pdf#page=5","Abrir facsímil")</f>
        <v>Abrir facsímil</v>
      </c>
      <c r="K3908" s="15" t="s">
        <v>23</v>
      </c>
    </row>
    <row r="3909" spans="1:11" ht="42" customHeight="1">
      <c r="A3909" s="4" t="s">
        <v>9775</v>
      </c>
      <c r="B3909" s="5" t="s">
        <v>9776</v>
      </c>
      <c r="C3909" s="5" t="s">
        <v>18</v>
      </c>
      <c r="D3909" s="5" t="s">
        <v>19</v>
      </c>
      <c r="E3909" s="5" t="s">
        <v>910</v>
      </c>
      <c r="F3909" s="9">
        <v>66</v>
      </c>
      <c r="G3909" s="9">
        <v>718</v>
      </c>
      <c r="H3909" s="5" t="s">
        <v>21</v>
      </c>
      <c r="I3909" s="5" t="s">
        <v>9777</v>
      </c>
      <c r="J3909" s="12" t="str">
        <f>HYPERLINK("https://www.boe.es/gazeta/dias/1803/08/19/pdfs/GMD-1803-66.pdf#page=6","Abrir facsímil")</f>
        <v>Abrir facsímil</v>
      </c>
      <c r="K3909" s="15" t="s">
        <v>23</v>
      </c>
    </row>
    <row r="3910" spans="1:11" ht="42" customHeight="1">
      <c r="A3910" s="4" t="s">
        <v>9778</v>
      </c>
      <c r="B3910" s="5" t="s">
        <v>9779</v>
      </c>
      <c r="C3910" s="5" t="s">
        <v>18</v>
      </c>
      <c r="D3910" s="5" t="s">
        <v>19</v>
      </c>
      <c r="E3910" s="5" t="s">
        <v>278</v>
      </c>
      <c r="F3910" s="9">
        <v>46</v>
      </c>
      <c r="G3910" s="9">
        <v>485</v>
      </c>
      <c r="H3910" s="5" t="s">
        <v>21</v>
      </c>
      <c r="I3910" s="5" t="s">
        <v>9780</v>
      </c>
      <c r="J3910" s="12" t="str">
        <f>HYPERLINK("https://www.boe.es/gazeta/dias/1803/06/10/pdfs/GMD-1803-46.pdf#page=9","Abrir facsímil")</f>
        <v>Abrir facsímil</v>
      </c>
      <c r="K3910" s="15" t="s">
        <v>23</v>
      </c>
    </row>
    <row r="3911" spans="1:11" ht="42" customHeight="1">
      <c r="A3911" s="4" t="s">
        <v>9781</v>
      </c>
      <c r="B3911" s="5" t="s">
        <v>9782</v>
      </c>
      <c r="C3911" s="5" t="s">
        <v>26</v>
      </c>
      <c r="D3911" s="5" t="s">
        <v>27</v>
      </c>
      <c r="E3911" s="5" t="s">
        <v>124</v>
      </c>
      <c r="F3911" s="9">
        <v>20</v>
      </c>
      <c r="G3911" s="9">
        <v>209</v>
      </c>
      <c r="H3911" s="5" t="s">
        <v>21</v>
      </c>
      <c r="I3911" s="5" t="s">
        <v>9783</v>
      </c>
      <c r="J3911" s="12" t="str">
        <f>HYPERLINK("https://www.boe.es/gazeta/dias/1803/03/11/pdfs/GMD-1803-20.pdf#page=5","Abrir facsímil")</f>
        <v>Abrir facsímil</v>
      </c>
      <c r="K3911" s="15" t="s">
        <v>23</v>
      </c>
    </row>
    <row r="3912" spans="1:11" ht="42" customHeight="1">
      <c r="A3912" s="4" t="s">
        <v>9784</v>
      </c>
      <c r="B3912" s="5" t="s">
        <v>9785</v>
      </c>
      <c r="C3912" s="5" t="s">
        <v>26</v>
      </c>
      <c r="D3912" s="5" t="s">
        <v>27</v>
      </c>
      <c r="E3912" s="5" t="s">
        <v>199</v>
      </c>
      <c r="F3912" s="9">
        <v>88</v>
      </c>
      <c r="G3912" s="9">
        <v>947</v>
      </c>
      <c r="H3912" s="5" t="s">
        <v>21</v>
      </c>
      <c r="I3912" s="5" t="s">
        <v>9786</v>
      </c>
      <c r="J3912" s="12" t="str">
        <f>HYPERLINK("https://www.boe.es/gazeta/dias/1803/11/01/pdfs/GMD-1803-88.pdf#page=7","Abrir facsímil")</f>
        <v>Abrir facsímil</v>
      </c>
      <c r="K3912" s="15" t="s">
        <v>23</v>
      </c>
    </row>
    <row r="3913" spans="1:11" ht="42" customHeight="1">
      <c r="A3913" s="4" t="s">
        <v>9787</v>
      </c>
      <c r="B3913" s="5" t="s">
        <v>9788</v>
      </c>
      <c r="C3913" s="5" t="s">
        <v>26</v>
      </c>
      <c r="D3913" s="5" t="s">
        <v>27</v>
      </c>
      <c r="E3913" s="5" t="s">
        <v>88</v>
      </c>
      <c r="F3913" s="9">
        <v>18</v>
      </c>
      <c r="G3913" s="9">
        <v>188</v>
      </c>
      <c r="H3913" s="5" t="s">
        <v>21</v>
      </c>
      <c r="I3913" s="5" t="s">
        <v>9789</v>
      </c>
      <c r="J3913" s="12" t="str">
        <f>HYPERLINK("https://www.boe.es/gazeta/dias/1803/03/04/pdfs/GMD-1803-18.pdf#page=8","Abrir facsímil")</f>
        <v>Abrir facsímil</v>
      </c>
      <c r="K3913" s="15" t="s">
        <v>23</v>
      </c>
    </row>
    <row r="3914" spans="1:11" ht="42" customHeight="1">
      <c r="A3914" s="4" t="s">
        <v>9790</v>
      </c>
      <c r="B3914" s="5" t="s">
        <v>9791</v>
      </c>
      <c r="C3914" s="5" t="s">
        <v>18</v>
      </c>
      <c r="D3914" s="5" t="s">
        <v>19</v>
      </c>
      <c r="E3914" s="5" t="s">
        <v>85</v>
      </c>
      <c r="F3914" s="9">
        <v>49</v>
      </c>
      <c r="G3914" s="9">
        <v>522</v>
      </c>
      <c r="H3914" s="5" t="s">
        <v>21</v>
      </c>
      <c r="I3914" s="5" t="s">
        <v>9792</v>
      </c>
      <c r="J3914" s="12" t="str">
        <f>HYPERLINK("https://www.boe.es/gazeta/dias/1803/06/21/pdfs/GMD-1803-49.pdf#page=10","Abrir facsímil")</f>
        <v>Abrir facsímil</v>
      </c>
      <c r="K3914" s="15" t="s">
        <v>23</v>
      </c>
    </row>
    <row r="3915" spans="1:11" ht="42" customHeight="1">
      <c r="A3915" s="4" t="s">
        <v>9793</v>
      </c>
      <c r="B3915" s="5" t="s">
        <v>9794</v>
      </c>
      <c r="C3915" s="5" t="s">
        <v>26</v>
      </c>
      <c r="D3915" s="5" t="s">
        <v>27</v>
      </c>
      <c r="E3915" s="5" t="s">
        <v>919</v>
      </c>
      <c r="F3915" s="9">
        <v>69</v>
      </c>
      <c r="G3915" s="9">
        <v>750</v>
      </c>
      <c r="H3915" s="5" t="s">
        <v>21</v>
      </c>
      <c r="I3915" s="5" t="s">
        <v>9795</v>
      </c>
      <c r="J3915" s="12" t="str">
        <f>HYPERLINK("https://www.boe.es/gazeta/dias/1803/08/30/pdfs/GMD-1803-69.pdf#page=6","Abrir facsímil")</f>
        <v>Abrir facsímil</v>
      </c>
      <c r="K3915" s="15" t="s">
        <v>23</v>
      </c>
    </row>
    <row r="3916" spans="1:11" ht="42" customHeight="1">
      <c r="A3916" s="4" t="s">
        <v>9796</v>
      </c>
      <c r="B3916" s="5" t="s">
        <v>9797</v>
      </c>
      <c r="C3916" s="5" t="s">
        <v>18</v>
      </c>
      <c r="D3916" s="5" t="s">
        <v>19</v>
      </c>
      <c r="E3916" s="5" t="s">
        <v>83</v>
      </c>
      <c r="F3916" s="9">
        <v>28</v>
      </c>
      <c r="G3916" s="9">
        <v>304</v>
      </c>
      <c r="H3916" s="5" t="s">
        <v>21</v>
      </c>
      <c r="I3916" s="5" t="s">
        <v>9798</v>
      </c>
      <c r="J3916" s="12" t="str">
        <f>HYPERLINK("https://www.boe.es/gazeta/dias/1803/04/08/pdfs/GMD-1803-28.pdf#page=8","Abrir facsímil")</f>
        <v>Abrir facsímil</v>
      </c>
      <c r="K3916" s="15" t="s">
        <v>23</v>
      </c>
    </row>
    <row r="3917" spans="1:11" ht="42" customHeight="1">
      <c r="A3917" s="4" t="s">
        <v>9799</v>
      </c>
      <c r="B3917" s="5" t="s">
        <v>9799</v>
      </c>
      <c r="C3917" s="5" t="s">
        <v>80</v>
      </c>
      <c r="D3917" s="5" t="s">
        <v>81</v>
      </c>
      <c r="E3917" s="5" t="s">
        <v>32</v>
      </c>
      <c r="F3917" s="9">
        <v>74</v>
      </c>
      <c r="G3917" s="9">
        <v>797</v>
      </c>
      <c r="H3917" s="5" t="s">
        <v>21</v>
      </c>
      <c r="I3917" s="5" t="s">
        <v>9800</v>
      </c>
      <c r="J3917" s="12" t="str">
        <f>HYPERLINK("https://www.boe.es/gazeta/dias/1803/09/13/pdfs/GMD-1803-74.pdf#page=1","Abrir facsímil")</f>
        <v>Abrir facsímil</v>
      </c>
      <c r="K3917" s="15" t="s">
        <v>23</v>
      </c>
    </row>
    <row r="3918" spans="1:11" ht="42" customHeight="1">
      <c r="A3918" s="4" t="s">
        <v>9801</v>
      </c>
      <c r="B3918" s="5" t="s">
        <v>9801</v>
      </c>
      <c r="C3918" s="5" t="s">
        <v>26</v>
      </c>
      <c r="D3918" s="5" t="s">
        <v>27</v>
      </c>
      <c r="E3918" s="5" t="s">
        <v>203</v>
      </c>
      <c r="F3918" s="9">
        <v>32</v>
      </c>
      <c r="G3918" s="9">
        <v>335</v>
      </c>
      <c r="H3918" s="5" t="s">
        <v>21</v>
      </c>
      <c r="I3918" s="5" t="s">
        <v>9802</v>
      </c>
      <c r="J3918" s="12" t="str">
        <f>HYPERLINK("https://www.boe.es/gazeta/dias/1803/04/22/pdfs/GMD-1803-32.pdf#page=7","Abrir facsímil")</f>
        <v>Abrir facsímil</v>
      </c>
      <c r="K3918" s="15" t="s">
        <v>23</v>
      </c>
    </row>
    <row r="3919" spans="1:11" ht="42" customHeight="1">
      <c r="A3919" s="4" t="s">
        <v>9803</v>
      </c>
      <c r="B3919" s="5" t="s">
        <v>9804</v>
      </c>
      <c r="C3919" s="5" t="s">
        <v>40</v>
      </c>
      <c r="D3919" s="5" t="s">
        <v>41</v>
      </c>
      <c r="E3919" s="5" t="s">
        <v>218</v>
      </c>
      <c r="F3919" s="9">
        <v>19</v>
      </c>
      <c r="G3919" s="9">
        <v>198</v>
      </c>
      <c r="H3919" s="5" t="s">
        <v>21</v>
      </c>
      <c r="I3919" s="5" t="s">
        <v>9805</v>
      </c>
      <c r="J3919" s="12" t="str">
        <f>HYPERLINK("https://www.boe.es/gazeta/dias/1803/03/08/pdfs/GMD-1803-19.pdf#page=6","Abrir facsímil")</f>
        <v>Abrir facsímil</v>
      </c>
      <c r="K3919" s="15" t="s">
        <v>23</v>
      </c>
    </row>
    <row r="3920" spans="1:11" ht="42" customHeight="1">
      <c r="A3920" s="4" t="s">
        <v>9806</v>
      </c>
      <c r="B3920" s="5" t="s">
        <v>9807</v>
      </c>
      <c r="C3920" s="5" t="s">
        <v>51</v>
      </c>
      <c r="D3920" s="5" t="s">
        <v>52</v>
      </c>
      <c r="E3920" s="5" t="s">
        <v>203</v>
      </c>
      <c r="F3920" s="9">
        <v>32</v>
      </c>
      <c r="G3920" s="9">
        <v>337</v>
      </c>
      <c r="H3920" s="5" t="s">
        <v>21</v>
      </c>
      <c r="I3920" s="5" t="s">
        <v>9808</v>
      </c>
      <c r="J3920" s="12" t="str">
        <f>HYPERLINK("https://www.boe.es/gazeta/dias/1803/04/22/pdfs/GMD-1803-32.pdf#page=9","Abrir facsímil")</f>
        <v>Abrir facsímil</v>
      </c>
      <c r="K3920" s="15" t="s">
        <v>23</v>
      </c>
    </row>
    <row r="3921" spans="1:11" ht="42" customHeight="1">
      <c r="A3921" s="4" t="s">
        <v>9809</v>
      </c>
      <c r="B3921" s="5" t="s">
        <v>9810</v>
      </c>
      <c r="C3921" s="5" t="s">
        <v>18</v>
      </c>
      <c r="D3921" s="5" t="s">
        <v>19</v>
      </c>
      <c r="E3921" s="5" t="s">
        <v>317</v>
      </c>
      <c r="F3921" s="9">
        <v>12</v>
      </c>
      <c r="G3921" s="9">
        <v>122</v>
      </c>
      <c r="H3921" s="5" t="s">
        <v>21</v>
      </c>
      <c r="I3921" s="5" t="s">
        <v>9811</v>
      </c>
      <c r="J3921" s="12" t="str">
        <f>HYPERLINK("https://www.boe.es/gazeta/dias/1803/02/11/pdfs/GMD-1803-12.pdf#page=10","Abrir facsímil")</f>
        <v>Abrir facsímil</v>
      </c>
      <c r="K3921" s="15" t="s">
        <v>23</v>
      </c>
    </row>
    <row r="3922" spans="1:11" ht="42" customHeight="1">
      <c r="A3922" s="4" t="s">
        <v>9812</v>
      </c>
      <c r="B3922" s="5" t="s">
        <v>9813</v>
      </c>
      <c r="C3922" s="5" t="s">
        <v>26</v>
      </c>
      <c r="D3922" s="5" t="s">
        <v>27</v>
      </c>
      <c r="E3922" s="5" t="s">
        <v>493</v>
      </c>
      <c r="F3922" s="9">
        <v>104</v>
      </c>
      <c r="G3922" s="9">
        <v>1115</v>
      </c>
      <c r="H3922" s="5" t="s">
        <v>21</v>
      </c>
      <c r="I3922" s="5" t="s">
        <v>9814</v>
      </c>
      <c r="J3922" s="12" t="str">
        <f>HYPERLINK("https://www.boe.es/gazeta/dias/1803/12/27/pdfs/GMD-1803-104.pdf#page=7","Abrir facsímil")</f>
        <v>Abrir facsímil</v>
      </c>
      <c r="K3922" s="15" t="s">
        <v>23</v>
      </c>
    </row>
    <row r="3923" spans="1:11" ht="42" customHeight="1">
      <c r="A3923" s="4" t="s">
        <v>9815</v>
      </c>
      <c r="B3923" s="5" t="s">
        <v>9816</v>
      </c>
      <c r="C3923" s="5" t="s">
        <v>26</v>
      </c>
      <c r="D3923" s="5" t="s">
        <v>27</v>
      </c>
      <c r="E3923" s="5" t="s">
        <v>47</v>
      </c>
      <c r="F3923" s="9">
        <v>33</v>
      </c>
      <c r="G3923" s="9">
        <v>349</v>
      </c>
      <c r="H3923" s="5" t="s">
        <v>21</v>
      </c>
      <c r="I3923" s="5" t="s">
        <v>9817</v>
      </c>
      <c r="J3923" s="12" t="str">
        <f>HYPERLINK("https://www.boe.es/gazeta/dias/1803/04/26/pdfs/GMD-1803-33.pdf#page=9","Abrir facsímil")</f>
        <v>Abrir facsímil</v>
      </c>
      <c r="K3923" s="15" t="s">
        <v>23</v>
      </c>
    </row>
    <row r="3924" spans="1:11" ht="42" customHeight="1">
      <c r="A3924" s="4" t="s">
        <v>9818</v>
      </c>
      <c r="B3924" s="5" t="s">
        <v>9819</v>
      </c>
      <c r="C3924" s="5" t="s">
        <v>26</v>
      </c>
      <c r="D3924" s="5" t="s">
        <v>27</v>
      </c>
      <c r="E3924" s="5" t="s">
        <v>71</v>
      </c>
      <c r="F3924" s="9">
        <v>39</v>
      </c>
      <c r="G3924" s="9">
        <v>412</v>
      </c>
      <c r="H3924" s="5" t="s">
        <v>21</v>
      </c>
      <c r="I3924" s="5" t="s">
        <v>9820</v>
      </c>
      <c r="J3924" s="12" t="str">
        <f>HYPERLINK("https://www.boe.es/gazeta/dias/1803/05/17/pdfs/GMD-1803-39.pdf#page=8","Abrir facsímil")</f>
        <v>Abrir facsímil</v>
      </c>
      <c r="K3924" s="15" t="s">
        <v>23</v>
      </c>
    </row>
    <row r="3925" spans="1:11" ht="42" customHeight="1">
      <c r="A3925" s="4" t="s">
        <v>9821</v>
      </c>
      <c r="B3925" s="5" t="s">
        <v>9822</v>
      </c>
      <c r="C3925" s="5" t="s">
        <v>51</v>
      </c>
      <c r="D3925" s="5" t="s">
        <v>52</v>
      </c>
      <c r="E3925" s="5" t="s">
        <v>174</v>
      </c>
      <c r="F3925" s="9">
        <v>21</v>
      </c>
      <c r="G3925" s="9">
        <v>227</v>
      </c>
      <c r="H3925" s="5" t="s">
        <v>21</v>
      </c>
      <c r="I3925" s="5" t="s">
        <v>9823</v>
      </c>
      <c r="J3925" s="12" t="str">
        <f>HYPERLINK("https://www.boe.es/gazeta/dias/1803/03/15/pdfs/GMD-1803-21.pdf#page=11","Abrir facsímil")</f>
        <v>Abrir facsímil</v>
      </c>
      <c r="K3925" s="15" t="s">
        <v>23</v>
      </c>
    </row>
    <row r="3926" spans="1:11" ht="42" customHeight="1">
      <c r="A3926" s="4" t="s">
        <v>9824</v>
      </c>
      <c r="B3926" s="5" t="s">
        <v>9825</v>
      </c>
      <c r="C3926" s="5" t="s">
        <v>80</v>
      </c>
      <c r="D3926" s="5" t="s">
        <v>81</v>
      </c>
      <c r="E3926" s="5" t="s">
        <v>53</v>
      </c>
      <c r="F3926" s="9">
        <v>99</v>
      </c>
      <c r="G3926" s="9">
        <v>1064</v>
      </c>
      <c r="H3926" s="5" t="s">
        <v>21</v>
      </c>
      <c r="I3926" s="5" t="s">
        <v>9826</v>
      </c>
      <c r="J3926" s="12" t="str">
        <f>HYPERLINK("https://www.boe.es/gazeta/dias/1803/12/09/pdfs/GMD-1803-99.pdf#page=12","Abrir facsímil")</f>
        <v>Abrir facsímil</v>
      </c>
      <c r="K3926" s="15" t="s">
        <v>23</v>
      </c>
    </row>
    <row r="3927" spans="1:11" ht="42" customHeight="1">
      <c r="A3927" s="4" t="s">
        <v>9827</v>
      </c>
      <c r="B3927" s="5" t="s">
        <v>9828</v>
      </c>
      <c r="C3927" s="5" t="s">
        <v>18</v>
      </c>
      <c r="D3927" s="5" t="s">
        <v>19</v>
      </c>
      <c r="E3927" s="5" t="s">
        <v>606</v>
      </c>
      <c r="F3927" s="9">
        <v>47</v>
      </c>
      <c r="G3927" s="9">
        <v>498</v>
      </c>
      <c r="H3927" s="5" t="s">
        <v>21</v>
      </c>
      <c r="I3927" s="5" t="s">
        <v>9829</v>
      </c>
      <c r="J3927" s="12" t="str">
        <f>HYPERLINK("https://www.boe.es/gazeta/dias/1803/06/14/pdfs/GMD-1803-47.pdf#page=10","Abrir facsímil")</f>
        <v>Abrir facsímil</v>
      </c>
      <c r="K3927" s="15" t="s">
        <v>23</v>
      </c>
    </row>
    <row r="3928" spans="1:11" ht="42" customHeight="1">
      <c r="A3928" s="4" t="s">
        <v>9830</v>
      </c>
      <c r="B3928" s="5" t="s">
        <v>9831</v>
      </c>
      <c r="C3928" s="5" t="s">
        <v>26</v>
      </c>
      <c r="D3928" s="5" t="s">
        <v>27</v>
      </c>
      <c r="E3928" s="5" t="s">
        <v>555</v>
      </c>
      <c r="F3928" s="9">
        <v>83</v>
      </c>
      <c r="G3928" s="9">
        <v>894</v>
      </c>
      <c r="H3928" s="5" t="s">
        <v>21</v>
      </c>
      <c r="I3928" s="5" t="s">
        <v>9832</v>
      </c>
      <c r="J3928" s="12" t="str">
        <f>HYPERLINK("https://www.boe.es/gazeta/dias/1803/10/14/pdfs/GMD-1803-83.pdf#page=6","Abrir facsímil")</f>
        <v>Abrir facsímil</v>
      </c>
      <c r="K3928" s="15" t="s">
        <v>23</v>
      </c>
    </row>
    <row r="3929" spans="1:11" ht="42" customHeight="1">
      <c r="A3929" s="4" t="s">
        <v>9833</v>
      </c>
      <c r="B3929" s="5" t="s">
        <v>9834</v>
      </c>
      <c r="C3929" s="5" t="s">
        <v>46</v>
      </c>
      <c r="D3929" s="5" t="s">
        <v>19</v>
      </c>
      <c r="E3929" s="5" t="s">
        <v>477</v>
      </c>
      <c r="F3929" s="9">
        <v>48</v>
      </c>
      <c r="G3929" s="9">
        <v>512</v>
      </c>
      <c r="H3929" s="5" t="s">
        <v>21</v>
      </c>
      <c r="I3929" s="5" t="s">
        <v>9835</v>
      </c>
      <c r="J3929" s="12" t="str">
        <f>HYPERLINK("https://www.boe.es/gazeta/dias/1803/06/17/pdfs/GMD-1803-48.pdf#page=12","Abrir facsímil")</f>
        <v>Abrir facsímil</v>
      </c>
      <c r="K3929" s="15" t="s">
        <v>23</v>
      </c>
    </row>
    <row r="3930" spans="1:11" ht="42" customHeight="1">
      <c r="A3930" s="4" t="s">
        <v>9836</v>
      </c>
      <c r="B3930" s="5" t="s">
        <v>9837</v>
      </c>
      <c r="C3930" s="5" t="s">
        <v>26</v>
      </c>
      <c r="D3930" s="5" t="s">
        <v>27</v>
      </c>
      <c r="E3930" s="5" t="s">
        <v>501</v>
      </c>
      <c r="F3930" s="9">
        <v>22</v>
      </c>
      <c r="G3930" s="9">
        <v>237</v>
      </c>
      <c r="H3930" s="5" t="s">
        <v>21</v>
      </c>
      <c r="I3930" s="5" t="s">
        <v>9838</v>
      </c>
      <c r="J3930" s="12" t="str">
        <f>HYPERLINK("https://www.boe.es/gazeta/dias/1803/03/18/pdfs/GMD-1803-22.pdf#page=9","Abrir facsímil")</f>
        <v>Abrir facsímil</v>
      </c>
      <c r="K3930" s="15" t="s">
        <v>23</v>
      </c>
    </row>
    <row r="3931" spans="1:11" ht="42" customHeight="1">
      <c r="A3931" s="4" t="s">
        <v>9839</v>
      </c>
      <c r="B3931" s="5" t="s">
        <v>9840</v>
      </c>
      <c r="C3931" s="5" t="s">
        <v>26</v>
      </c>
      <c r="D3931" s="5" t="s">
        <v>27</v>
      </c>
      <c r="E3931" s="5" t="s">
        <v>417</v>
      </c>
      <c r="F3931" s="9">
        <v>72</v>
      </c>
      <c r="G3931" s="9">
        <v>786</v>
      </c>
      <c r="H3931" s="5" t="s">
        <v>21</v>
      </c>
      <c r="I3931" s="5" t="s">
        <v>9841</v>
      </c>
      <c r="J3931" s="12" t="str">
        <f>HYPERLINK("https://www.boe.es/gazeta/dias/1803/09/09/pdfs/GMD-1803-72.pdf#page=6","Abrir facsímil")</f>
        <v>Abrir facsímil</v>
      </c>
      <c r="K3931" s="15" t="s">
        <v>23</v>
      </c>
    </row>
    <row r="3932" spans="1:11" ht="42" customHeight="1">
      <c r="A3932" s="4" t="s">
        <v>9842</v>
      </c>
      <c r="B3932" s="5" t="s">
        <v>9843</v>
      </c>
      <c r="C3932" s="5" t="s">
        <v>18</v>
      </c>
      <c r="D3932" s="5" t="s">
        <v>19</v>
      </c>
      <c r="E3932" s="5" t="s">
        <v>83</v>
      </c>
      <c r="F3932" s="9">
        <v>28</v>
      </c>
      <c r="G3932" s="9">
        <v>303</v>
      </c>
      <c r="H3932" s="5" t="s">
        <v>21</v>
      </c>
      <c r="I3932" s="5" t="s">
        <v>9844</v>
      </c>
      <c r="J3932" s="12" t="str">
        <f>HYPERLINK("https://www.boe.es/gazeta/dias/1803/04/08/pdfs/GMD-1803-28.pdf#page=7","Abrir facsímil")</f>
        <v>Abrir facsímil</v>
      </c>
      <c r="K3932" s="15" t="s">
        <v>23</v>
      </c>
    </row>
    <row r="3933" spans="1:11" ht="42" customHeight="1">
      <c r="A3933" s="4" t="s">
        <v>9845</v>
      </c>
      <c r="B3933" s="5" t="s">
        <v>9845</v>
      </c>
      <c r="C3933" s="5" t="s">
        <v>51</v>
      </c>
      <c r="D3933" s="5" t="s">
        <v>52</v>
      </c>
      <c r="E3933" s="5" t="s">
        <v>156</v>
      </c>
      <c r="F3933" s="9">
        <v>2</v>
      </c>
      <c r="G3933" s="9">
        <v>14</v>
      </c>
      <c r="H3933" s="5" t="s">
        <v>21</v>
      </c>
      <c r="I3933" s="5" t="s">
        <v>9846</v>
      </c>
      <c r="J3933" s="12" t="str">
        <f>HYPERLINK("https://www.boe.es/gazeta/dias/1803/01/07/pdfs/GMD-1803-2.pdf#page=6","Abrir facsímil")</f>
        <v>Abrir facsímil</v>
      </c>
      <c r="K3933" s="15" t="s">
        <v>23</v>
      </c>
    </row>
    <row r="3934" spans="1:11" ht="42" customHeight="1">
      <c r="A3934" s="4" t="s">
        <v>9847</v>
      </c>
      <c r="B3934" s="5" t="s">
        <v>9848</v>
      </c>
      <c r="C3934" s="5" t="s">
        <v>40</v>
      </c>
      <c r="D3934" s="5" t="s">
        <v>41</v>
      </c>
      <c r="E3934" s="5" t="s">
        <v>630</v>
      </c>
      <c r="F3934" s="9">
        <v>85</v>
      </c>
      <c r="G3934" s="9">
        <v>914</v>
      </c>
      <c r="H3934" s="5" t="s">
        <v>21</v>
      </c>
      <c r="I3934" s="5" t="s">
        <v>9849</v>
      </c>
      <c r="J3934" s="12" t="str">
        <f>HYPERLINK("https://www.boe.es/gazeta/dias/1803/10/21/pdfs/GMD-1803-85.pdf#page=6","Abrir facsímil")</f>
        <v>Abrir facsímil</v>
      </c>
      <c r="K3934" s="15" t="s">
        <v>23</v>
      </c>
    </row>
    <row r="3935" spans="1:11" ht="42" customHeight="1">
      <c r="A3935" s="4" t="s">
        <v>9847</v>
      </c>
      <c r="B3935" s="5" t="s">
        <v>9848</v>
      </c>
      <c r="C3935" s="5" t="s">
        <v>40</v>
      </c>
      <c r="D3935" s="5" t="s">
        <v>41</v>
      </c>
      <c r="E3935" s="5" t="s">
        <v>784</v>
      </c>
      <c r="F3935" s="9">
        <v>86</v>
      </c>
      <c r="G3935" s="9">
        <v>927</v>
      </c>
      <c r="H3935" s="5" t="s">
        <v>21</v>
      </c>
      <c r="I3935" s="5" t="s">
        <v>9850</v>
      </c>
      <c r="J3935" s="12" t="str">
        <f>HYPERLINK("https://www.boe.es/gazeta/dias/1803/10/25/pdfs/GMD-1803-86.pdf#page=7","Abrir facsímil")</f>
        <v>Abrir facsímil</v>
      </c>
      <c r="K3935" s="15" t="s">
        <v>23</v>
      </c>
    </row>
    <row r="3936" spans="1:11" ht="42" customHeight="1">
      <c r="A3936" s="4" t="s">
        <v>9851</v>
      </c>
      <c r="B3936" s="5" t="s">
        <v>9852</v>
      </c>
      <c r="C3936" s="5" t="s">
        <v>51</v>
      </c>
      <c r="D3936" s="5" t="s">
        <v>52</v>
      </c>
      <c r="E3936" s="5" t="s">
        <v>77</v>
      </c>
      <c r="F3936" s="9">
        <v>64</v>
      </c>
      <c r="G3936" s="9">
        <v>697</v>
      </c>
      <c r="H3936" s="5" t="s">
        <v>21</v>
      </c>
      <c r="I3936" s="5" t="s">
        <v>9853</v>
      </c>
      <c r="J3936" s="12" t="str">
        <f>HYPERLINK("https://www.boe.es/gazeta/dias/1803/08/12/pdfs/GMD-1803-64.pdf#page=5","Abrir facsímil")</f>
        <v>Abrir facsímil</v>
      </c>
      <c r="K3936" s="15" t="s">
        <v>23</v>
      </c>
    </row>
    <row r="3937" spans="1:11" ht="42" customHeight="1">
      <c r="A3937" s="4" t="s">
        <v>9854</v>
      </c>
      <c r="B3937" s="5" t="s">
        <v>9855</v>
      </c>
      <c r="C3937" s="5" t="s">
        <v>26</v>
      </c>
      <c r="D3937" s="5" t="s">
        <v>27</v>
      </c>
      <c r="E3937" s="5" t="s">
        <v>148</v>
      </c>
      <c r="F3937" s="9">
        <v>15</v>
      </c>
      <c r="G3937" s="9">
        <v>157</v>
      </c>
      <c r="H3937" s="5" t="s">
        <v>21</v>
      </c>
      <c r="I3937" s="5" t="s">
        <v>9856</v>
      </c>
      <c r="J3937" s="12" t="str">
        <f>HYPERLINK("https://www.boe.es/gazeta/dias/1803/02/22/pdfs/GMD-1803-15.pdf#page=9","Abrir facsímil")</f>
        <v>Abrir facsímil</v>
      </c>
      <c r="K3937" s="15" t="s">
        <v>23</v>
      </c>
    </row>
    <row r="3938" spans="1:11" ht="42" customHeight="1">
      <c r="A3938" s="4" t="s">
        <v>9857</v>
      </c>
      <c r="B3938" s="5" t="s">
        <v>9858</v>
      </c>
      <c r="C3938" s="5" t="s">
        <v>18</v>
      </c>
      <c r="D3938" s="5" t="s">
        <v>19</v>
      </c>
      <c r="E3938" s="5" t="s">
        <v>93</v>
      </c>
      <c r="F3938" s="9">
        <v>43</v>
      </c>
      <c r="G3938" s="9">
        <v>450</v>
      </c>
      <c r="H3938" s="5" t="s">
        <v>21</v>
      </c>
      <c r="I3938" s="5" t="s">
        <v>9859</v>
      </c>
      <c r="J3938" s="12" t="str">
        <f>HYPERLINK("https://www.boe.es/gazeta/dias/1803/05/31/pdfs/GMD-1803-43.pdf#page=10","Abrir facsímil")</f>
        <v>Abrir facsímil</v>
      </c>
      <c r="K3938" s="15" t="s">
        <v>23</v>
      </c>
    </row>
    <row r="3939" spans="1:11" ht="42" customHeight="1">
      <c r="A3939" s="4" t="s">
        <v>9860</v>
      </c>
      <c r="B3939" s="5" t="s">
        <v>9861</v>
      </c>
      <c r="C3939" s="5" t="s">
        <v>46</v>
      </c>
      <c r="D3939" s="5" t="s">
        <v>19</v>
      </c>
      <c r="E3939" s="5" t="s">
        <v>496</v>
      </c>
      <c r="F3939" s="9">
        <v>90</v>
      </c>
      <c r="G3939" s="9">
        <v>966</v>
      </c>
      <c r="H3939" s="5" t="s">
        <v>21</v>
      </c>
      <c r="I3939" s="5" t="s">
        <v>9862</v>
      </c>
      <c r="J3939" s="12" t="str">
        <f>HYPERLINK("https://www.boe.es/gazeta/dias/1803/11/08/pdfs/GMD-1803-90.pdf#page=6","Abrir facsímil")</f>
        <v>Abrir facsímil</v>
      </c>
      <c r="K3939" s="15" t="s">
        <v>23</v>
      </c>
    </row>
    <row r="3940" spans="1:11" ht="42" customHeight="1">
      <c r="A3940" s="4" t="s">
        <v>9863</v>
      </c>
      <c r="B3940" s="5" t="s">
        <v>9864</v>
      </c>
      <c r="C3940" s="5" t="s">
        <v>18</v>
      </c>
      <c r="D3940" s="5" t="s">
        <v>19</v>
      </c>
      <c r="E3940" s="5" t="s">
        <v>395</v>
      </c>
      <c r="F3940" s="9">
        <v>13</v>
      </c>
      <c r="G3940" s="9">
        <v>133</v>
      </c>
      <c r="H3940" s="5" t="s">
        <v>21</v>
      </c>
      <c r="I3940" s="5" t="s">
        <v>9865</v>
      </c>
      <c r="J3940" s="12" t="str">
        <f>HYPERLINK("https://www.boe.es/gazeta/dias/1803/02/15/pdfs/GMD-1803-13.pdf#page=9","Abrir facsímil")</f>
        <v>Abrir facsímil</v>
      </c>
      <c r="K3940" s="15" t="s">
        <v>23</v>
      </c>
    </row>
    <row r="3941" spans="1:11" ht="42" customHeight="1">
      <c r="A3941" s="4" t="s">
        <v>9866</v>
      </c>
      <c r="B3941" s="5" t="s">
        <v>9867</v>
      </c>
      <c r="C3941" s="5" t="s">
        <v>26</v>
      </c>
      <c r="D3941" s="5" t="s">
        <v>27</v>
      </c>
      <c r="E3941" s="5" t="s">
        <v>57</v>
      </c>
      <c r="F3941" s="9">
        <v>51</v>
      </c>
      <c r="G3941" s="9">
        <v>556</v>
      </c>
      <c r="H3941" s="5" t="s">
        <v>21</v>
      </c>
      <c r="I3941" s="5" t="s">
        <v>9868</v>
      </c>
      <c r="J3941" s="12" t="str">
        <f>HYPERLINK("https://www.boe.es/gazeta/dias/1803/06/28/pdfs/GMD-1803-51.pdf#page=12","Abrir facsímil")</f>
        <v>Abrir facsímil</v>
      </c>
      <c r="K3941" s="15" t="s">
        <v>23</v>
      </c>
    </row>
    <row r="3942" spans="1:11" ht="42" customHeight="1">
      <c r="A3942" s="4" t="s">
        <v>9869</v>
      </c>
      <c r="B3942" s="5" t="s">
        <v>9870</v>
      </c>
      <c r="C3942" s="5" t="s">
        <v>46</v>
      </c>
      <c r="D3942" s="5" t="s">
        <v>19</v>
      </c>
      <c r="E3942" s="5" t="s">
        <v>555</v>
      </c>
      <c r="F3942" s="9">
        <v>83</v>
      </c>
      <c r="G3942" s="9">
        <v>894</v>
      </c>
      <c r="H3942" s="5" t="s">
        <v>21</v>
      </c>
      <c r="I3942" s="5" t="s">
        <v>9871</v>
      </c>
      <c r="J3942" s="12" t="str">
        <f>HYPERLINK("https://www.boe.es/gazeta/dias/1803/10/14/pdfs/GMD-1803-83.pdf#page=6","Abrir facsímil")</f>
        <v>Abrir facsímil</v>
      </c>
      <c r="K3942" s="15" t="s">
        <v>23</v>
      </c>
    </row>
    <row r="3943" spans="1:11" ht="42" customHeight="1">
      <c r="A3943" s="4" t="s">
        <v>9872</v>
      </c>
      <c r="B3943" s="5" t="s">
        <v>9873</v>
      </c>
      <c r="C3943" s="5" t="s">
        <v>80</v>
      </c>
      <c r="D3943" s="5" t="s">
        <v>81</v>
      </c>
      <c r="E3943" s="5" t="s">
        <v>1846</v>
      </c>
      <c r="F3943" s="9">
        <v>89</v>
      </c>
      <c r="G3943" s="9">
        <v>960</v>
      </c>
      <c r="H3943" s="5" t="s">
        <v>21</v>
      </c>
      <c r="I3943" s="5" t="s">
        <v>9874</v>
      </c>
      <c r="J3943" s="12" t="str">
        <f>HYPERLINK("https://www.boe.es/gazeta/dias/1803/11/04/pdfs/GMD-1803-89.pdf#page=8","Abrir facsímil")</f>
        <v>Abrir facsímil</v>
      </c>
      <c r="K3943" s="15" t="s">
        <v>23</v>
      </c>
    </row>
    <row r="3944" spans="1:11" ht="42" customHeight="1">
      <c r="A3944" s="4" t="s">
        <v>9875</v>
      </c>
      <c r="B3944" s="5" t="s">
        <v>9876</v>
      </c>
      <c r="C3944" s="5" t="s">
        <v>26</v>
      </c>
      <c r="D3944" s="5" t="s">
        <v>27</v>
      </c>
      <c r="E3944" s="5" t="s">
        <v>657</v>
      </c>
      <c r="F3944" s="9">
        <v>24</v>
      </c>
      <c r="G3944" s="9">
        <v>256</v>
      </c>
      <c r="H3944" s="5" t="s">
        <v>21</v>
      </c>
      <c r="I3944" s="5" t="s">
        <v>9877</v>
      </c>
      <c r="J3944" s="12" t="str">
        <f>HYPERLINK("https://www.boe.es/gazeta/dias/1803/03/25/pdfs/GMD-1803-24.pdf#page=8","Abrir facsímil")</f>
        <v>Abrir facsímil</v>
      </c>
      <c r="K3944" s="15" t="s">
        <v>23</v>
      </c>
    </row>
    <row r="3945" spans="1:11" ht="42" customHeight="1">
      <c r="A3945" s="4" t="s">
        <v>9878</v>
      </c>
      <c r="B3945" s="5" t="s">
        <v>9879</v>
      </c>
      <c r="C3945" s="5" t="s">
        <v>26</v>
      </c>
      <c r="D3945" s="5" t="s">
        <v>27</v>
      </c>
      <c r="E3945" s="5" t="s">
        <v>361</v>
      </c>
      <c r="F3945" s="9">
        <v>62</v>
      </c>
      <c r="G3945" s="9">
        <v>676</v>
      </c>
      <c r="H3945" s="5" t="s">
        <v>21</v>
      </c>
      <c r="I3945" s="5" t="s">
        <v>9880</v>
      </c>
      <c r="J3945" s="12" t="str">
        <f>HYPERLINK("https://www.boe.es/gazeta/dias/1803/08/05/pdfs/GMD-1803-62.pdf#page=8","Abrir facsímil")</f>
        <v>Abrir facsímil</v>
      </c>
      <c r="K3945" s="15" t="s">
        <v>23</v>
      </c>
    </row>
    <row r="3946" spans="1:11" ht="42" customHeight="1">
      <c r="A3946" s="4" t="s">
        <v>9881</v>
      </c>
      <c r="B3946" s="5" t="s">
        <v>9882</v>
      </c>
      <c r="C3946" s="5" t="s">
        <v>26</v>
      </c>
      <c r="D3946" s="5" t="s">
        <v>27</v>
      </c>
      <c r="E3946" s="5" t="s">
        <v>71</v>
      </c>
      <c r="F3946" s="9">
        <v>39</v>
      </c>
      <c r="G3946" s="9">
        <v>412</v>
      </c>
      <c r="H3946" s="5" t="s">
        <v>21</v>
      </c>
      <c r="I3946" s="5" t="s">
        <v>9883</v>
      </c>
      <c r="J3946" s="12" t="str">
        <f>HYPERLINK("https://www.boe.es/gazeta/dias/1803/05/17/pdfs/GMD-1803-39.pdf#page=8","Abrir facsímil")</f>
        <v>Abrir facsímil</v>
      </c>
      <c r="K3946" s="15" t="s">
        <v>23</v>
      </c>
    </row>
    <row r="3947" spans="1:11" ht="42" customHeight="1">
      <c r="A3947" s="4" t="s">
        <v>9884</v>
      </c>
      <c r="B3947" s="5" t="s">
        <v>9885</v>
      </c>
      <c r="C3947" s="5" t="s">
        <v>40</v>
      </c>
      <c r="D3947" s="5" t="s">
        <v>41</v>
      </c>
      <c r="E3947" s="5" t="s">
        <v>47</v>
      </c>
      <c r="F3947" s="9">
        <v>33</v>
      </c>
      <c r="G3947" s="9">
        <v>349</v>
      </c>
      <c r="H3947" s="5" t="s">
        <v>21</v>
      </c>
      <c r="I3947" s="5" t="s">
        <v>9886</v>
      </c>
      <c r="J3947" s="12" t="str">
        <f>HYPERLINK("https://www.boe.es/gazeta/dias/1803/04/26/pdfs/GMD-1803-33.pdf#page=9","Abrir facsímil")</f>
        <v>Abrir facsímil</v>
      </c>
      <c r="K3947" s="15" t="s">
        <v>23</v>
      </c>
    </row>
    <row r="3948" spans="1:11" ht="42" customHeight="1">
      <c r="A3948" s="4" t="s">
        <v>9887</v>
      </c>
      <c r="B3948" s="5" t="s">
        <v>9888</v>
      </c>
      <c r="C3948" s="5" t="s">
        <v>40</v>
      </c>
      <c r="D3948" s="5" t="s">
        <v>41</v>
      </c>
      <c r="E3948" s="5" t="s">
        <v>395</v>
      </c>
      <c r="F3948" s="9">
        <v>13</v>
      </c>
      <c r="G3948" s="9">
        <v>133</v>
      </c>
      <c r="H3948" s="5" t="s">
        <v>21</v>
      </c>
      <c r="I3948" s="5" t="s">
        <v>9889</v>
      </c>
      <c r="J3948" s="12" t="str">
        <f>HYPERLINK("https://www.boe.es/gazeta/dias/1803/02/15/pdfs/GMD-1803-13.pdf#page=9","Abrir facsímil")</f>
        <v>Abrir facsímil</v>
      </c>
      <c r="K3948" s="15" t="s">
        <v>23</v>
      </c>
    </row>
    <row r="3949" spans="1:11" ht="42" customHeight="1">
      <c r="A3949" s="4" t="s">
        <v>9890</v>
      </c>
      <c r="B3949" s="5" t="s">
        <v>9891</v>
      </c>
      <c r="C3949" s="5" t="s">
        <v>18</v>
      </c>
      <c r="D3949" s="5" t="s">
        <v>19</v>
      </c>
      <c r="E3949" s="5" t="s">
        <v>138</v>
      </c>
      <c r="F3949" s="9">
        <v>68</v>
      </c>
      <c r="G3949" s="9">
        <v>741</v>
      </c>
      <c r="H3949" s="5" t="s">
        <v>21</v>
      </c>
      <c r="I3949" s="5" t="s">
        <v>9892</v>
      </c>
      <c r="J3949" s="12" t="str">
        <f>HYPERLINK("https://www.boe.es/gazeta/dias/1803/08/26/pdfs/GMD-1803-68.pdf#page=9","Abrir facsímil")</f>
        <v>Abrir facsímil</v>
      </c>
      <c r="K3949" s="15" t="s">
        <v>23</v>
      </c>
    </row>
    <row r="3950" spans="1:11" ht="42" customHeight="1">
      <c r="A3950" s="4" t="s">
        <v>9893</v>
      </c>
      <c r="B3950" s="5" t="s">
        <v>9894</v>
      </c>
      <c r="C3950" s="5" t="s">
        <v>26</v>
      </c>
      <c r="D3950" s="5" t="s">
        <v>27</v>
      </c>
      <c r="E3950" s="5" t="s">
        <v>403</v>
      </c>
      <c r="F3950" s="9">
        <v>91</v>
      </c>
      <c r="G3950" s="9">
        <v>976</v>
      </c>
      <c r="H3950" s="5" t="s">
        <v>21</v>
      </c>
      <c r="I3950" s="5" t="s">
        <v>9895</v>
      </c>
      <c r="J3950" s="12" t="str">
        <f>HYPERLINK("https://www.boe.es/gazeta/dias/1803/11/11/pdfs/GMD-1803-91.pdf#page=8","Abrir facsímil")</f>
        <v>Abrir facsímil</v>
      </c>
      <c r="K3950" s="15" t="s">
        <v>23</v>
      </c>
    </row>
    <row r="3951" spans="1:11" ht="42" customHeight="1">
      <c r="A3951" s="4" t="s">
        <v>9896</v>
      </c>
      <c r="B3951" s="5" t="s">
        <v>9897</v>
      </c>
      <c r="C3951" s="5" t="s">
        <v>26</v>
      </c>
      <c r="D3951" s="5" t="s">
        <v>27</v>
      </c>
      <c r="E3951" s="5" t="s">
        <v>83</v>
      </c>
      <c r="F3951" s="9">
        <v>28</v>
      </c>
      <c r="G3951" s="9">
        <v>303</v>
      </c>
      <c r="H3951" s="5" t="s">
        <v>21</v>
      </c>
      <c r="I3951" s="5" t="s">
        <v>9898</v>
      </c>
      <c r="J3951" s="12" t="str">
        <f>HYPERLINK("https://www.boe.es/gazeta/dias/1803/04/08/pdfs/GMD-1803-28.pdf#page=7","Abrir facsímil")</f>
        <v>Abrir facsímil</v>
      </c>
      <c r="K3951" s="15" t="s">
        <v>23</v>
      </c>
    </row>
    <row r="3952" spans="1:11" ht="42" customHeight="1">
      <c r="A3952" s="4" t="s">
        <v>9899</v>
      </c>
      <c r="B3952" s="5" t="s">
        <v>9899</v>
      </c>
      <c r="C3952" s="5" t="s">
        <v>40</v>
      </c>
      <c r="D3952" s="5" t="s">
        <v>41</v>
      </c>
      <c r="E3952" s="5" t="s">
        <v>36</v>
      </c>
      <c r="F3952" s="9">
        <v>79</v>
      </c>
      <c r="G3952" s="9">
        <v>850</v>
      </c>
      <c r="H3952" s="5" t="s">
        <v>21</v>
      </c>
      <c r="I3952" s="5" t="s">
        <v>9900</v>
      </c>
      <c r="J3952" s="12" t="str">
        <f>HYPERLINK("https://www.boe.es/gazeta/dias/1803/09/30/pdfs/GMD-1803-79.pdf#page=2","Abrir facsímil")</f>
        <v>Abrir facsímil</v>
      </c>
      <c r="K3952" s="15" t="s">
        <v>23</v>
      </c>
    </row>
    <row r="3953" spans="1:11" ht="42" customHeight="1">
      <c r="A3953" s="4" t="s">
        <v>9901</v>
      </c>
      <c r="B3953" s="5" t="s">
        <v>9901</v>
      </c>
      <c r="C3953" s="5" t="s">
        <v>80</v>
      </c>
      <c r="D3953" s="5" t="s">
        <v>81</v>
      </c>
      <c r="E3953" s="5" t="s">
        <v>752</v>
      </c>
      <c r="F3953" s="9">
        <v>30</v>
      </c>
      <c r="G3953" s="9">
        <v>320</v>
      </c>
      <c r="H3953" s="5" t="s">
        <v>21</v>
      </c>
      <c r="I3953" s="5" t="s">
        <v>9902</v>
      </c>
      <c r="J3953" s="12" t="str">
        <f>HYPERLINK("https://www.boe.es/gazeta/dias/1803/04/15/pdfs/GMD-1803-30.pdf#page=8","Abrir facsímil")</f>
        <v>Abrir facsímil</v>
      </c>
      <c r="K3953" s="15" t="s">
        <v>23</v>
      </c>
    </row>
    <row r="3954" spans="1:11" ht="42" customHeight="1">
      <c r="A3954" s="4" t="s">
        <v>9903</v>
      </c>
      <c r="B3954" s="5" t="s">
        <v>9904</v>
      </c>
      <c r="C3954" s="5" t="s">
        <v>51</v>
      </c>
      <c r="D3954" s="5" t="s">
        <v>52</v>
      </c>
      <c r="E3954" s="5" t="s">
        <v>88</v>
      </c>
      <c r="F3954" s="9">
        <v>18</v>
      </c>
      <c r="G3954" s="9">
        <v>188</v>
      </c>
      <c r="H3954" s="5" t="s">
        <v>21</v>
      </c>
      <c r="I3954" s="5" t="s">
        <v>9905</v>
      </c>
      <c r="J3954" s="12" t="str">
        <f>HYPERLINK("https://www.boe.es/gazeta/dias/1803/03/04/pdfs/GMD-1803-18.pdf#page=8","Abrir facsímil")</f>
        <v>Abrir facsímil</v>
      </c>
      <c r="K3954" s="15" t="s">
        <v>23</v>
      </c>
    </row>
    <row r="3955" spans="1:11" ht="42" customHeight="1">
      <c r="A3955" s="4" t="s">
        <v>9906</v>
      </c>
      <c r="B3955" s="5" t="s">
        <v>9907</v>
      </c>
      <c r="C3955" s="5" t="s">
        <v>26</v>
      </c>
      <c r="D3955" s="5" t="s">
        <v>27</v>
      </c>
      <c r="E3955" s="5" t="s">
        <v>148</v>
      </c>
      <c r="F3955" s="9">
        <v>15</v>
      </c>
      <c r="G3955" s="9">
        <v>158</v>
      </c>
      <c r="H3955" s="5" t="s">
        <v>21</v>
      </c>
      <c r="I3955" s="5" t="s">
        <v>9908</v>
      </c>
      <c r="J3955" s="12" t="str">
        <f>HYPERLINK("https://www.boe.es/gazeta/dias/1803/02/22/pdfs/GMD-1803-15.pdf#page=10","Abrir facsímil")</f>
        <v>Abrir facsímil</v>
      </c>
      <c r="K3955" s="15" t="s">
        <v>23</v>
      </c>
    </row>
    <row r="3956" spans="1:11" ht="42" customHeight="1">
      <c r="A3956" s="4" t="s">
        <v>9909</v>
      </c>
      <c r="B3956" s="5" t="s">
        <v>9910</v>
      </c>
      <c r="C3956" s="5" t="s">
        <v>26</v>
      </c>
      <c r="D3956" s="5" t="s">
        <v>27</v>
      </c>
      <c r="E3956" s="5" t="s">
        <v>523</v>
      </c>
      <c r="F3956" s="9">
        <v>101</v>
      </c>
      <c r="G3956" s="9">
        <v>1086</v>
      </c>
      <c r="H3956" s="5" t="s">
        <v>21</v>
      </c>
      <c r="I3956" s="5" t="s">
        <v>9911</v>
      </c>
      <c r="J3956" s="12" t="str">
        <f>HYPERLINK("https://www.boe.es/gazeta/dias/1803/12/16/pdfs/GMD-1803-101.pdf#page=10","Abrir facsímil")</f>
        <v>Abrir facsímil</v>
      </c>
      <c r="K3956" s="15" t="s">
        <v>23</v>
      </c>
    </row>
    <row r="3957" spans="1:11" ht="42" customHeight="1">
      <c r="A3957" s="4" t="s">
        <v>9912</v>
      </c>
      <c r="B3957" s="5" t="s">
        <v>9913</v>
      </c>
      <c r="C3957" s="5" t="s">
        <v>51</v>
      </c>
      <c r="D3957" s="5" t="s">
        <v>52</v>
      </c>
      <c r="E3957" s="5" t="s">
        <v>83</v>
      </c>
      <c r="F3957" s="9">
        <v>28</v>
      </c>
      <c r="G3957" s="9">
        <v>302</v>
      </c>
      <c r="H3957" s="5" t="s">
        <v>21</v>
      </c>
      <c r="I3957" s="5" t="s">
        <v>9914</v>
      </c>
      <c r="J3957" s="12" t="str">
        <f>HYPERLINK("https://www.boe.es/gazeta/dias/1803/04/08/pdfs/GMD-1803-28.pdf#page=6","Abrir facsímil")</f>
        <v>Abrir facsímil</v>
      </c>
      <c r="K3957" s="15" t="s">
        <v>23</v>
      </c>
    </row>
    <row r="3958" spans="1:11" ht="42" customHeight="1">
      <c r="A3958" s="4" t="s">
        <v>9915</v>
      </c>
      <c r="B3958" s="5" t="s">
        <v>9916</v>
      </c>
      <c r="C3958" s="5" t="s">
        <v>26</v>
      </c>
      <c r="D3958" s="5" t="s">
        <v>27</v>
      </c>
      <c r="E3958" s="5" t="s">
        <v>403</v>
      </c>
      <c r="F3958" s="9">
        <v>91</v>
      </c>
      <c r="G3958" s="9">
        <v>976</v>
      </c>
      <c r="H3958" s="5" t="s">
        <v>21</v>
      </c>
      <c r="I3958" s="5" t="s">
        <v>9917</v>
      </c>
      <c r="J3958" s="12" t="str">
        <f>HYPERLINK("https://www.boe.es/gazeta/dias/1803/11/11/pdfs/GMD-1803-91.pdf#page=8","Abrir facsímil")</f>
        <v>Abrir facsímil</v>
      </c>
      <c r="K3958" s="15" t="s">
        <v>23</v>
      </c>
    </row>
    <row r="3959" spans="1:11" ht="42" customHeight="1">
      <c r="A3959" s="4" t="s">
        <v>9918</v>
      </c>
      <c r="B3959" s="5" t="s">
        <v>9919</v>
      </c>
      <c r="C3959" s="5" t="s">
        <v>26</v>
      </c>
      <c r="D3959" s="5" t="s">
        <v>27</v>
      </c>
      <c r="E3959" s="5" t="s">
        <v>317</v>
      </c>
      <c r="F3959" s="9">
        <v>12</v>
      </c>
      <c r="G3959" s="9">
        <v>121</v>
      </c>
      <c r="H3959" s="5" t="s">
        <v>21</v>
      </c>
      <c r="I3959" s="5" t="s">
        <v>9920</v>
      </c>
      <c r="J3959" s="12" t="str">
        <f>HYPERLINK("https://www.boe.es/gazeta/dias/1803/02/11/pdfs/GMD-1803-12.pdf#page=9","Abrir facsímil")</f>
        <v>Abrir facsímil</v>
      </c>
      <c r="K3959" s="15" t="s">
        <v>23</v>
      </c>
    </row>
    <row r="3960" spans="1:11" ht="42" customHeight="1">
      <c r="A3960" s="4" t="s">
        <v>9921</v>
      </c>
      <c r="B3960" s="5" t="s">
        <v>9922</v>
      </c>
      <c r="C3960" s="5" t="s">
        <v>26</v>
      </c>
      <c r="D3960" s="5" t="s">
        <v>27</v>
      </c>
      <c r="E3960" s="5" t="s">
        <v>138</v>
      </c>
      <c r="F3960" s="9">
        <v>68</v>
      </c>
      <c r="G3960" s="9">
        <v>742</v>
      </c>
      <c r="H3960" s="5" t="s">
        <v>21</v>
      </c>
      <c r="I3960" s="5" t="s">
        <v>9923</v>
      </c>
      <c r="J3960" s="12" t="str">
        <f>HYPERLINK("https://www.boe.es/gazeta/dias/1803/08/26/pdfs/GMD-1803-68.pdf#page=10","Abrir facsímil")</f>
        <v>Abrir facsímil</v>
      </c>
      <c r="K3960" s="15" t="s">
        <v>23</v>
      </c>
    </row>
    <row r="3961" spans="1:11" ht="42" customHeight="1">
      <c r="A3961" s="4" t="s">
        <v>9924</v>
      </c>
      <c r="B3961" s="5" t="s">
        <v>9925</v>
      </c>
      <c r="C3961" s="5" t="s">
        <v>18</v>
      </c>
      <c r="D3961" s="5" t="s">
        <v>19</v>
      </c>
      <c r="E3961" s="5" t="s">
        <v>109</v>
      </c>
      <c r="F3961" s="9">
        <v>102</v>
      </c>
      <c r="G3961" s="9">
        <v>1097</v>
      </c>
      <c r="H3961" s="5" t="s">
        <v>21</v>
      </c>
      <c r="I3961" s="5" t="s">
        <v>9926</v>
      </c>
      <c r="J3961" s="12" t="str">
        <f>HYPERLINK("https://www.boe.es/gazeta/dias/1803/12/20/pdfs/GMD-1803-102.pdf#page=9","Abrir facsímil")</f>
        <v>Abrir facsímil</v>
      </c>
      <c r="K3961" s="15" t="s">
        <v>23</v>
      </c>
    </row>
    <row r="3962" spans="1:11" ht="42" customHeight="1">
      <c r="A3962" s="4" t="s">
        <v>9927</v>
      </c>
      <c r="B3962" s="5" t="s">
        <v>9928</v>
      </c>
      <c r="C3962" s="5" t="s">
        <v>18</v>
      </c>
      <c r="D3962" s="5" t="s">
        <v>19</v>
      </c>
      <c r="E3962" s="5" t="s">
        <v>83</v>
      </c>
      <c r="F3962" s="9">
        <v>28</v>
      </c>
      <c r="G3962" s="9">
        <v>303</v>
      </c>
      <c r="H3962" s="5" t="s">
        <v>21</v>
      </c>
      <c r="I3962" s="5" t="s">
        <v>9929</v>
      </c>
      <c r="J3962" s="12" t="str">
        <f>HYPERLINK("https://www.boe.es/gazeta/dias/1803/04/08/pdfs/GMD-1803-28.pdf#page=7","Abrir facsímil")</f>
        <v>Abrir facsímil</v>
      </c>
      <c r="K3962" s="15" t="s">
        <v>23</v>
      </c>
    </row>
    <row r="3963" spans="1:11" ht="42" customHeight="1">
      <c r="A3963" s="4" t="s">
        <v>9930</v>
      </c>
      <c r="B3963" s="5" t="s">
        <v>9931</v>
      </c>
      <c r="C3963" s="5" t="s">
        <v>26</v>
      </c>
      <c r="D3963" s="5" t="s">
        <v>27</v>
      </c>
      <c r="E3963" s="5" t="s">
        <v>571</v>
      </c>
      <c r="F3963" s="9">
        <v>103</v>
      </c>
      <c r="G3963" s="9">
        <v>1106</v>
      </c>
      <c r="H3963" s="5" t="s">
        <v>21</v>
      </c>
      <c r="I3963" s="5" t="s">
        <v>9932</v>
      </c>
      <c r="J3963" s="12" t="str">
        <f>HYPERLINK("https://www.boe.es/gazeta/dias/1803/12/23/pdfs/GMD-1803-103.pdf#page=6","Abrir facsímil")</f>
        <v>Abrir facsímil</v>
      </c>
      <c r="K3963" s="15" t="s">
        <v>23</v>
      </c>
    </row>
    <row r="3964" spans="1:11" ht="42" customHeight="1">
      <c r="A3964" s="4" t="s">
        <v>9933</v>
      </c>
      <c r="B3964" s="5" t="s">
        <v>9934</v>
      </c>
      <c r="C3964" s="5" t="s">
        <v>18</v>
      </c>
      <c r="D3964" s="5" t="s">
        <v>19</v>
      </c>
      <c r="E3964" s="5" t="s">
        <v>124</v>
      </c>
      <c r="F3964" s="9">
        <v>20</v>
      </c>
      <c r="G3964" s="9">
        <v>209</v>
      </c>
      <c r="H3964" s="5" t="s">
        <v>21</v>
      </c>
      <c r="I3964" s="5" t="s">
        <v>9935</v>
      </c>
      <c r="J3964" s="12" t="str">
        <f>HYPERLINK("https://www.boe.es/gazeta/dias/1803/03/11/pdfs/GMD-1803-20.pdf#page=5","Abrir facsímil")</f>
        <v>Abrir facsímil</v>
      </c>
      <c r="K3964" s="15" t="s">
        <v>23</v>
      </c>
    </row>
    <row r="3965" spans="1:11" ht="42" customHeight="1">
      <c r="A3965" s="4" t="s">
        <v>9936</v>
      </c>
      <c r="B3965" s="5" t="s">
        <v>9937</v>
      </c>
      <c r="C3965" s="5" t="s">
        <v>80</v>
      </c>
      <c r="D3965" s="5" t="s">
        <v>81</v>
      </c>
      <c r="E3965" s="5" t="s">
        <v>555</v>
      </c>
      <c r="F3965" s="9">
        <v>83</v>
      </c>
      <c r="G3965" s="9">
        <v>896</v>
      </c>
      <c r="H3965" s="5" t="s">
        <v>21</v>
      </c>
      <c r="I3965" s="5" t="s">
        <v>9938</v>
      </c>
      <c r="J3965" s="12" t="str">
        <f>HYPERLINK("https://www.boe.es/gazeta/dias/1803/10/14/pdfs/GMD-1803-83.pdf#page=8","Abrir facsímil")</f>
        <v>Abrir facsímil</v>
      </c>
      <c r="K3965" s="15" t="s">
        <v>23</v>
      </c>
    </row>
    <row r="3966" spans="1:11" ht="42" customHeight="1">
      <c r="A3966" s="4" t="s">
        <v>9939</v>
      </c>
      <c r="B3966" s="5" t="s">
        <v>9940</v>
      </c>
      <c r="C3966" s="5" t="s">
        <v>40</v>
      </c>
      <c r="D3966" s="5" t="s">
        <v>41</v>
      </c>
      <c r="E3966" s="5" t="s">
        <v>132</v>
      </c>
      <c r="F3966" s="9">
        <v>58</v>
      </c>
      <c r="G3966" s="9">
        <v>639</v>
      </c>
      <c r="H3966" s="5" t="s">
        <v>21</v>
      </c>
      <c r="I3966" s="5" t="s">
        <v>9941</v>
      </c>
      <c r="J3966" s="12" t="str">
        <f>HYPERLINK("https://www.boe.es/gazeta/dias/1803/07/22/pdfs/GMD-1803-58.pdf#page=11","Abrir facsímil")</f>
        <v>Abrir facsímil</v>
      </c>
      <c r="K3966" s="15" t="s">
        <v>23</v>
      </c>
    </row>
    <row r="3967" spans="1:11" ht="42" customHeight="1">
      <c r="A3967" s="4" t="s">
        <v>9942</v>
      </c>
      <c r="B3967" s="5" t="s">
        <v>9943</v>
      </c>
      <c r="C3967" s="5" t="s">
        <v>26</v>
      </c>
      <c r="D3967" s="5" t="s">
        <v>27</v>
      </c>
      <c r="E3967" s="5" t="s">
        <v>630</v>
      </c>
      <c r="F3967" s="9">
        <v>85</v>
      </c>
      <c r="G3967" s="9">
        <v>917</v>
      </c>
      <c r="H3967" s="5" t="s">
        <v>21</v>
      </c>
      <c r="I3967" s="5" t="s">
        <v>9944</v>
      </c>
      <c r="J3967" s="12" t="str">
        <f>HYPERLINK("https://www.boe.es/gazeta/dias/1803/10/21/pdfs/GMD-1803-85.pdf#page=9","Abrir facsímil")</f>
        <v>Abrir facsímil</v>
      </c>
      <c r="K3967" s="15" t="s">
        <v>23</v>
      </c>
    </row>
    <row r="3968" spans="1:11" ht="42" customHeight="1">
      <c r="A3968" s="4" t="s">
        <v>9945</v>
      </c>
      <c r="B3968" s="5" t="s">
        <v>9946</v>
      </c>
      <c r="C3968" s="5" t="s">
        <v>26</v>
      </c>
      <c r="D3968" s="5" t="s">
        <v>27</v>
      </c>
      <c r="E3968" s="5" t="s">
        <v>148</v>
      </c>
      <c r="F3968" s="9">
        <v>15</v>
      </c>
      <c r="G3968" s="9">
        <v>157</v>
      </c>
      <c r="H3968" s="5" t="s">
        <v>21</v>
      </c>
      <c r="I3968" s="5" t="s">
        <v>9947</v>
      </c>
      <c r="J3968" s="12" t="str">
        <f>HYPERLINK("https://www.boe.es/gazeta/dias/1803/02/22/pdfs/GMD-1803-15.pdf#page=9","Abrir facsímil")</f>
        <v>Abrir facsímil</v>
      </c>
      <c r="K3968" s="15" t="s">
        <v>23</v>
      </c>
    </row>
    <row r="3969" spans="1:11" ht="42" customHeight="1">
      <c r="A3969" s="4" t="s">
        <v>9948</v>
      </c>
      <c r="B3969" s="5" t="s">
        <v>9949</v>
      </c>
      <c r="C3969" s="5" t="s">
        <v>26</v>
      </c>
      <c r="D3969" s="5" t="s">
        <v>27</v>
      </c>
      <c r="E3969" s="5" t="s">
        <v>88</v>
      </c>
      <c r="F3969" s="9">
        <v>18</v>
      </c>
      <c r="G3969" s="9">
        <v>188</v>
      </c>
      <c r="H3969" s="5" t="s">
        <v>21</v>
      </c>
      <c r="I3969" s="5" t="s">
        <v>9950</v>
      </c>
      <c r="J3969" s="12" t="str">
        <f>HYPERLINK("https://www.boe.es/gazeta/dias/1803/03/04/pdfs/GMD-1803-18.pdf#page=8","Abrir facsímil")</f>
        <v>Abrir facsímil</v>
      </c>
      <c r="K3969" s="15" t="s">
        <v>23</v>
      </c>
    </row>
    <row r="3970" spans="1:11" ht="42" customHeight="1">
      <c r="A3970" s="4" t="s">
        <v>9951</v>
      </c>
      <c r="B3970" s="5" t="s">
        <v>9952</v>
      </c>
      <c r="C3970" s="5" t="s">
        <v>26</v>
      </c>
      <c r="D3970" s="5" t="s">
        <v>27</v>
      </c>
      <c r="E3970" s="5" t="s">
        <v>317</v>
      </c>
      <c r="F3970" s="9">
        <v>12</v>
      </c>
      <c r="G3970" s="9">
        <v>122</v>
      </c>
      <c r="H3970" s="5" t="s">
        <v>21</v>
      </c>
      <c r="I3970" s="5" t="s">
        <v>9953</v>
      </c>
      <c r="J3970" s="12" t="str">
        <f>HYPERLINK("https://www.boe.es/gazeta/dias/1803/02/11/pdfs/GMD-1803-12.pdf#page=10","Abrir facsímil")</f>
        <v>Abrir facsímil</v>
      </c>
      <c r="K3970" s="15" t="s">
        <v>23</v>
      </c>
    </row>
    <row r="3971" spans="1:11" ht="42" customHeight="1">
      <c r="A3971" s="4" t="s">
        <v>9954</v>
      </c>
      <c r="B3971" s="5" t="s">
        <v>9955</v>
      </c>
      <c r="C3971" s="5" t="s">
        <v>80</v>
      </c>
      <c r="D3971" s="5" t="s">
        <v>81</v>
      </c>
      <c r="E3971" s="5" t="s">
        <v>109</v>
      </c>
      <c r="F3971" s="9">
        <v>102</v>
      </c>
      <c r="G3971" s="9">
        <v>1100</v>
      </c>
      <c r="H3971" s="5" t="s">
        <v>21</v>
      </c>
      <c r="I3971" s="5" t="s">
        <v>9956</v>
      </c>
      <c r="J3971" s="12" t="str">
        <f>HYPERLINK("https://www.boe.es/gazeta/dias/1803/12/20/pdfs/GMD-1803-102.pdf#page=12","Abrir facsímil")</f>
        <v>Abrir facsímil</v>
      </c>
      <c r="K3971" s="15" t="s">
        <v>23</v>
      </c>
    </row>
    <row r="3972" spans="1:11" ht="42" customHeight="1">
      <c r="A3972" s="4" t="s">
        <v>9957</v>
      </c>
      <c r="B3972" s="5" t="s">
        <v>9958</v>
      </c>
      <c r="C3972" s="5" t="s">
        <v>18</v>
      </c>
      <c r="D3972" s="5" t="s">
        <v>19</v>
      </c>
      <c r="E3972" s="5" t="s">
        <v>109</v>
      </c>
      <c r="F3972" s="9">
        <v>102</v>
      </c>
      <c r="G3972" s="9">
        <v>1097</v>
      </c>
      <c r="H3972" s="5" t="s">
        <v>21</v>
      </c>
      <c r="I3972" s="5" t="s">
        <v>9959</v>
      </c>
      <c r="J3972" s="12" t="str">
        <f>HYPERLINK("https://www.boe.es/gazeta/dias/1803/12/20/pdfs/GMD-1803-102.pdf#page=9","Abrir facsímil")</f>
        <v>Abrir facsímil</v>
      </c>
      <c r="K3972" s="15" t="s">
        <v>23</v>
      </c>
    </row>
    <row r="3973" spans="1:11" ht="42" customHeight="1">
      <c r="A3973" s="4" t="s">
        <v>9960</v>
      </c>
      <c r="B3973" s="5" t="s">
        <v>9961</v>
      </c>
      <c r="C3973" s="5" t="s">
        <v>26</v>
      </c>
      <c r="D3973" s="5" t="s">
        <v>27</v>
      </c>
      <c r="E3973" s="5" t="s">
        <v>555</v>
      </c>
      <c r="F3973" s="9">
        <v>83</v>
      </c>
      <c r="G3973" s="9">
        <v>894</v>
      </c>
      <c r="H3973" s="5" t="s">
        <v>21</v>
      </c>
      <c r="I3973" s="5" t="s">
        <v>9962</v>
      </c>
      <c r="J3973" s="12" t="str">
        <f>HYPERLINK("https://www.boe.es/gazeta/dias/1803/10/14/pdfs/GMD-1803-83.pdf#page=6","Abrir facsímil")</f>
        <v>Abrir facsímil</v>
      </c>
      <c r="K3973" s="15" t="s">
        <v>23</v>
      </c>
    </row>
    <row r="3974" spans="1:11" ht="42" customHeight="1">
      <c r="A3974" s="4" t="s">
        <v>9963</v>
      </c>
      <c r="B3974" s="5" t="s">
        <v>9964</v>
      </c>
      <c r="C3974" s="5" t="s">
        <v>26</v>
      </c>
      <c r="D3974" s="5" t="s">
        <v>27</v>
      </c>
      <c r="E3974" s="5" t="s">
        <v>88</v>
      </c>
      <c r="F3974" s="9">
        <v>18</v>
      </c>
      <c r="G3974" s="9">
        <v>188</v>
      </c>
      <c r="H3974" s="5" t="s">
        <v>21</v>
      </c>
      <c r="I3974" s="5" t="s">
        <v>9965</v>
      </c>
      <c r="J3974" s="12" t="str">
        <f>HYPERLINK("https://www.boe.es/gazeta/dias/1803/03/04/pdfs/GMD-1803-18.pdf#page=8","Abrir facsímil")</f>
        <v>Abrir facsímil</v>
      </c>
      <c r="K3974" s="15" t="s">
        <v>23</v>
      </c>
    </row>
    <row r="3975" spans="1:11" ht="42" customHeight="1">
      <c r="A3975" s="4" t="s">
        <v>9966</v>
      </c>
      <c r="B3975" s="5" t="s">
        <v>9967</v>
      </c>
      <c r="C3975" s="5" t="s">
        <v>26</v>
      </c>
      <c r="D3975" s="5" t="s">
        <v>27</v>
      </c>
      <c r="E3975" s="5" t="s">
        <v>630</v>
      </c>
      <c r="F3975" s="9">
        <v>85</v>
      </c>
      <c r="G3975" s="9">
        <v>917</v>
      </c>
      <c r="H3975" s="5" t="s">
        <v>21</v>
      </c>
      <c r="I3975" s="5" t="s">
        <v>9968</v>
      </c>
      <c r="J3975" s="12" t="str">
        <f>HYPERLINK("https://www.boe.es/gazeta/dias/1803/10/21/pdfs/GMD-1803-85.pdf#page=9","Abrir facsímil")</f>
        <v>Abrir facsímil</v>
      </c>
      <c r="K3975" s="15" t="s">
        <v>23</v>
      </c>
    </row>
    <row r="3976" spans="1:11" ht="42" customHeight="1">
      <c r="A3976" s="4" t="s">
        <v>9969</v>
      </c>
      <c r="B3976" s="5" t="s">
        <v>9970</v>
      </c>
      <c r="C3976" s="5" t="s">
        <v>225</v>
      </c>
      <c r="D3976" s="5" t="s">
        <v>226</v>
      </c>
      <c r="E3976" s="5" t="s">
        <v>303</v>
      </c>
      <c r="F3976" s="9">
        <v>8</v>
      </c>
      <c r="G3976" s="9">
        <v>83</v>
      </c>
      <c r="H3976" s="5" t="s">
        <v>21</v>
      </c>
      <c r="I3976" s="5" t="s">
        <v>9971</v>
      </c>
      <c r="J3976" s="12" t="str">
        <f>HYPERLINK("https://www.boe.es/gazeta/dias/1803/01/28/pdfs/GMD-C-1803-8.pdf#page=3","Abrir facsímil")</f>
        <v>Abrir facsímil</v>
      </c>
      <c r="K3976" s="15" t="s">
        <v>23</v>
      </c>
    </row>
    <row r="3977" spans="1:11" ht="42" customHeight="1">
      <c r="A3977" s="4" t="s">
        <v>9972</v>
      </c>
      <c r="B3977" s="5" t="s">
        <v>9973</v>
      </c>
      <c r="C3977" s="5" t="s">
        <v>51</v>
      </c>
      <c r="D3977" s="5" t="s">
        <v>52</v>
      </c>
      <c r="E3977" s="5" t="s">
        <v>967</v>
      </c>
      <c r="F3977" s="9">
        <v>35</v>
      </c>
      <c r="G3977" s="9">
        <v>367</v>
      </c>
      <c r="H3977" s="5" t="s">
        <v>21</v>
      </c>
      <c r="I3977" s="5" t="s">
        <v>9974</v>
      </c>
      <c r="J3977" s="12" t="str">
        <f>HYPERLINK("https://www.boe.es/gazeta/dias/1803/05/03/pdfs/GMD-1803-35.pdf#page=7","Abrir facsímil")</f>
        <v>Abrir facsímil</v>
      </c>
      <c r="K3977" s="15" t="s">
        <v>23</v>
      </c>
    </row>
    <row r="3978" spans="1:11" ht="42" customHeight="1">
      <c r="A3978" s="4" t="s">
        <v>9975</v>
      </c>
      <c r="B3978" s="5" t="s">
        <v>9976</v>
      </c>
      <c r="C3978" s="5" t="s">
        <v>26</v>
      </c>
      <c r="D3978" s="5" t="s">
        <v>27</v>
      </c>
      <c r="E3978" s="5" t="s">
        <v>152</v>
      </c>
      <c r="F3978" s="9">
        <v>16</v>
      </c>
      <c r="G3978" s="9">
        <v>166</v>
      </c>
      <c r="H3978" s="5" t="s">
        <v>21</v>
      </c>
      <c r="I3978" s="5" t="s">
        <v>9977</v>
      </c>
      <c r="J3978" s="12" t="str">
        <f>HYPERLINK("https://www.boe.es/gazeta/dias/1803/02/25/pdfs/GMD-1803-16.pdf#page=6","Abrir facsímil")</f>
        <v>Abrir facsímil</v>
      </c>
      <c r="K3978" s="15" t="s">
        <v>23</v>
      </c>
    </row>
    <row r="3979" spans="1:11" ht="42" customHeight="1">
      <c r="A3979" s="4" t="s">
        <v>9978</v>
      </c>
      <c r="B3979" s="5" t="s">
        <v>9979</v>
      </c>
      <c r="C3979" s="5" t="s">
        <v>26</v>
      </c>
      <c r="D3979" s="5" t="s">
        <v>27</v>
      </c>
      <c r="E3979" s="5" t="s">
        <v>1915</v>
      </c>
      <c r="F3979" s="9">
        <v>44</v>
      </c>
      <c r="G3979" s="9">
        <v>459</v>
      </c>
      <c r="H3979" s="5" t="s">
        <v>21</v>
      </c>
      <c r="I3979" s="5" t="s">
        <v>9980</v>
      </c>
      <c r="J3979" s="12" t="str">
        <f>HYPERLINK("https://www.boe.es/gazeta/dias/1803/06/03/pdfs/GMD-1803-44.pdf#page=7","Abrir facsímil")</f>
        <v>Abrir facsímil</v>
      </c>
      <c r="K3979" s="15" t="s">
        <v>23</v>
      </c>
    </row>
    <row r="3980" spans="1:11" ht="42" customHeight="1">
      <c r="A3980" s="4" t="s">
        <v>9981</v>
      </c>
      <c r="B3980" s="5" t="s">
        <v>9981</v>
      </c>
      <c r="C3980" s="5" t="s">
        <v>51</v>
      </c>
      <c r="D3980" s="5" t="s">
        <v>52</v>
      </c>
      <c r="E3980" s="5" t="s">
        <v>480</v>
      </c>
      <c r="F3980" s="9">
        <v>87</v>
      </c>
      <c r="G3980" s="9">
        <v>940</v>
      </c>
      <c r="H3980" s="5" t="s">
        <v>21</v>
      </c>
      <c r="I3980" s="5" t="s">
        <v>9982</v>
      </c>
      <c r="J3980" s="12" t="str">
        <f>HYPERLINK("https://www.boe.es/gazeta/dias/1803/10/28/pdfs/GMD-1803-87.pdf#page=8","Abrir facsímil")</f>
        <v>Abrir facsímil</v>
      </c>
      <c r="K3980" s="15" t="s">
        <v>23</v>
      </c>
    </row>
    <row r="3981" spans="1:11" ht="42" customHeight="1">
      <c r="A3981" s="4" t="s">
        <v>9983</v>
      </c>
      <c r="B3981" s="5" t="s">
        <v>9984</v>
      </c>
      <c r="C3981" s="5" t="s">
        <v>225</v>
      </c>
      <c r="D3981" s="5" t="s">
        <v>226</v>
      </c>
      <c r="E3981" s="5" t="s">
        <v>191</v>
      </c>
      <c r="F3981" s="9">
        <v>34</v>
      </c>
      <c r="G3981" s="9" t="s">
        <v>227</v>
      </c>
      <c r="H3981" s="5" t="s">
        <v>21</v>
      </c>
      <c r="I3981" s="5" t="s">
        <v>9985</v>
      </c>
      <c r="J3981" s="12" t="str">
        <f>HYPERLINK("https://www.boe.es/gazeta/dias/1803/04/29/pdfs/GMD-C-1803-34.pdf#page=7","Abrir facsímil")</f>
        <v>Abrir facsímil</v>
      </c>
      <c r="K3981" s="15" t="s">
        <v>23</v>
      </c>
    </row>
    <row r="3982" spans="1:11" ht="42" customHeight="1">
      <c r="A3982" s="4" t="s">
        <v>9986</v>
      </c>
      <c r="B3982" s="5" t="s">
        <v>9987</v>
      </c>
      <c r="C3982" s="5" t="s">
        <v>18</v>
      </c>
      <c r="D3982" s="5" t="s">
        <v>19</v>
      </c>
      <c r="E3982" s="5" t="s">
        <v>523</v>
      </c>
      <c r="F3982" s="9">
        <v>101</v>
      </c>
      <c r="G3982" s="9">
        <v>1086</v>
      </c>
      <c r="H3982" s="5" t="s">
        <v>21</v>
      </c>
      <c r="I3982" s="5" t="s">
        <v>9988</v>
      </c>
      <c r="J3982" s="12" t="str">
        <f>HYPERLINK("https://www.boe.es/gazeta/dias/1803/12/16/pdfs/GMD-1803-101.pdf#page=10","Abrir facsímil")</f>
        <v>Abrir facsímil</v>
      </c>
      <c r="K3982" s="15" t="s">
        <v>23</v>
      </c>
    </row>
    <row r="3983" spans="1:11" ht="42" customHeight="1">
      <c r="A3983" s="4" t="s">
        <v>9989</v>
      </c>
      <c r="B3983" s="5" t="s">
        <v>9990</v>
      </c>
      <c r="C3983" s="5" t="s">
        <v>18</v>
      </c>
      <c r="D3983" s="5" t="s">
        <v>19</v>
      </c>
      <c r="E3983" s="5" t="s">
        <v>160</v>
      </c>
      <c r="F3983" s="9">
        <v>81</v>
      </c>
      <c r="G3983" s="9">
        <v>872</v>
      </c>
      <c r="H3983" s="5" t="s">
        <v>21</v>
      </c>
      <c r="I3983" s="5" t="s">
        <v>9991</v>
      </c>
      <c r="J3983" s="12" t="str">
        <f>HYPERLINK("https://www.boe.es/gazeta/dias/1803/10/07/pdfs/GMD-1803-81.pdf#page=8","Abrir facsímil")</f>
        <v>Abrir facsímil</v>
      </c>
      <c r="K3983" s="15" t="s">
        <v>23</v>
      </c>
    </row>
    <row r="3984" spans="1:11" ht="42" customHeight="1">
      <c r="A3984" s="4" t="s">
        <v>9992</v>
      </c>
      <c r="B3984" s="5" t="s">
        <v>9993</v>
      </c>
      <c r="C3984" s="5" t="s">
        <v>26</v>
      </c>
      <c r="D3984" s="5" t="s">
        <v>27</v>
      </c>
      <c r="E3984" s="5" t="s">
        <v>403</v>
      </c>
      <c r="F3984" s="9">
        <v>91</v>
      </c>
      <c r="G3984" s="9">
        <v>977</v>
      </c>
      <c r="H3984" s="5" t="s">
        <v>21</v>
      </c>
      <c r="I3984" s="5" t="s">
        <v>9994</v>
      </c>
      <c r="J3984" s="12" t="str">
        <f>HYPERLINK("https://www.boe.es/gazeta/dias/1803/11/11/pdfs/GMD-1803-91.pdf#page=9","Abrir facsímil")</f>
        <v>Abrir facsímil</v>
      </c>
      <c r="K3984" s="15" t="s">
        <v>23</v>
      </c>
    </row>
    <row r="3985" spans="1:11" ht="42" customHeight="1">
      <c r="A3985" s="4" t="s">
        <v>9995</v>
      </c>
      <c r="B3985" s="5" t="s">
        <v>9996</v>
      </c>
      <c r="C3985" s="5" t="s">
        <v>46</v>
      </c>
      <c r="D3985" s="5" t="s">
        <v>19</v>
      </c>
      <c r="E3985" s="5" t="s">
        <v>102</v>
      </c>
      <c r="F3985" s="9">
        <v>31</v>
      </c>
      <c r="G3985" s="9">
        <v>328</v>
      </c>
      <c r="H3985" s="5" t="s">
        <v>21</v>
      </c>
      <c r="I3985" s="5" t="s">
        <v>9997</v>
      </c>
      <c r="J3985" s="12" t="str">
        <f>HYPERLINK("https://www.boe.es/gazeta/dias/1803/04/19/pdfs/GMD-1803-31.pdf#page=8","Abrir facsímil")</f>
        <v>Abrir facsímil</v>
      </c>
      <c r="K3985" s="15" t="s">
        <v>23</v>
      </c>
    </row>
    <row r="3986" spans="1:11" ht="42" customHeight="1">
      <c r="A3986" s="4" t="s">
        <v>9998</v>
      </c>
      <c r="B3986" s="5" t="s">
        <v>9999</v>
      </c>
      <c r="C3986" s="5" t="s">
        <v>40</v>
      </c>
      <c r="D3986" s="5" t="s">
        <v>41</v>
      </c>
      <c r="E3986" s="5" t="s">
        <v>407</v>
      </c>
      <c r="F3986" s="9">
        <v>82</v>
      </c>
      <c r="G3986" s="9">
        <v>885</v>
      </c>
      <c r="H3986" s="5" t="s">
        <v>21</v>
      </c>
      <c r="I3986" s="5" t="s">
        <v>10000</v>
      </c>
      <c r="J3986" s="12" t="str">
        <f>HYPERLINK("https://www.boe.es/gazeta/dias/1803/10/11/pdfs/GMD-1803-82.pdf#page=9","Abrir facsímil")</f>
        <v>Abrir facsímil</v>
      </c>
      <c r="K3986" s="15" t="s">
        <v>23</v>
      </c>
    </row>
    <row r="3987" spans="1:11" ht="42" customHeight="1">
      <c r="A3987" s="4" t="s">
        <v>10001</v>
      </c>
      <c r="B3987" s="5" t="s">
        <v>10002</v>
      </c>
      <c r="C3987" s="5" t="s">
        <v>18</v>
      </c>
      <c r="D3987" s="5" t="s">
        <v>19</v>
      </c>
      <c r="E3987" s="5" t="s">
        <v>83</v>
      </c>
      <c r="F3987" s="9">
        <v>28</v>
      </c>
      <c r="G3987" s="9">
        <v>303</v>
      </c>
      <c r="H3987" s="5" t="s">
        <v>21</v>
      </c>
      <c r="I3987" s="5" t="s">
        <v>10003</v>
      </c>
      <c r="J3987" s="12" t="str">
        <f>HYPERLINK("https://www.boe.es/gazeta/dias/1803/04/08/pdfs/GMD-1803-28.pdf#page=7","Abrir facsímil")</f>
        <v>Abrir facsímil</v>
      </c>
      <c r="K3987" s="15" t="s">
        <v>23</v>
      </c>
    </row>
    <row r="3988" spans="1:11" ht="42" customHeight="1">
      <c r="A3988" s="4" t="s">
        <v>10004</v>
      </c>
      <c r="B3988" s="5" t="s">
        <v>10005</v>
      </c>
      <c r="C3988" s="5" t="s">
        <v>26</v>
      </c>
      <c r="D3988" s="5" t="s">
        <v>27</v>
      </c>
      <c r="E3988" s="5" t="s">
        <v>439</v>
      </c>
      <c r="F3988" s="9">
        <v>76</v>
      </c>
      <c r="G3988" s="9">
        <v>823</v>
      </c>
      <c r="H3988" s="5" t="s">
        <v>21</v>
      </c>
      <c r="I3988" s="5" t="s">
        <v>10006</v>
      </c>
      <c r="J3988" s="12" t="str">
        <f>HYPERLINK("https://www.boe.es/gazeta/dias/1803/09/20/pdfs/GMD-1803-76.pdf#page=11","Abrir facsímil")</f>
        <v>Abrir facsímil</v>
      </c>
      <c r="K3988" s="15" t="s">
        <v>23</v>
      </c>
    </row>
    <row r="3989" spans="1:11" ht="42" customHeight="1">
      <c r="A3989" s="4" t="s">
        <v>10007</v>
      </c>
      <c r="B3989" s="5" t="s">
        <v>10008</v>
      </c>
      <c r="C3989" s="5" t="s">
        <v>46</v>
      </c>
      <c r="D3989" s="5" t="s">
        <v>19</v>
      </c>
      <c r="E3989" s="5" t="s">
        <v>85</v>
      </c>
      <c r="F3989" s="9">
        <v>49</v>
      </c>
      <c r="G3989" s="9">
        <v>524</v>
      </c>
      <c r="H3989" s="5" t="s">
        <v>21</v>
      </c>
      <c r="I3989" s="5" t="s">
        <v>10009</v>
      </c>
      <c r="J3989" s="12" t="str">
        <f>HYPERLINK("https://www.boe.es/gazeta/dias/1803/06/21/pdfs/GMD-1803-49.pdf#page=12","Abrir facsímil")</f>
        <v>Abrir facsímil</v>
      </c>
      <c r="K3989" s="15" t="s">
        <v>23</v>
      </c>
    </row>
    <row r="3990" spans="1:11" ht="42" customHeight="1">
      <c r="A3990" s="4" t="s">
        <v>10010</v>
      </c>
      <c r="B3990" s="5" t="s">
        <v>10011</v>
      </c>
      <c r="C3990" s="5" t="s">
        <v>26</v>
      </c>
      <c r="D3990" s="5" t="s">
        <v>27</v>
      </c>
      <c r="E3990" s="5" t="s">
        <v>555</v>
      </c>
      <c r="F3990" s="9">
        <v>83</v>
      </c>
      <c r="G3990" s="9">
        <v>894</v>
      </c>
      <c r="H3990" s="5" t="s">
        <v>21</v>
      </c>
      <c r="I3990" s="5" t="s">
        <v>10012</v>
      </c>
      <c r="J3990" s="12" t="str">
        <f>HYPERLINK("https://www.boe.es/gazeta/dias/1803/10/14/pdfs/GMD-1803-83.pdf#page=6","Abrir facsímil")</f>
        <v>Abrir facsímil</v>
      </c>
      <c r="K3990" s="15" t="s">
        <v>23</v>
      </c>
    </row>
    <row r="3991" spans="1:11" ht="42" customHeight="1">
      <c r="A3991" s="4" t="s">
        <v>10013</v>
      </c>
      <c r="B3991" s="5" t="s">
        <v>10014</v>
      </c>
      <c r="C3991" s="5" t="s">
        <v>26</v>
      </c>
      <c r="D3991" s="5" t="s">
        <v>27</v>
      </c>
      <c r="E3991" s="5" t="s">
        <v>36</v>
      </c>
      <c r="F3991" s="9">
        <v>79</v>
      </c>
      <c r="G3991" s="9">
        <v>854</v>
      </c>
      <c r="H3991" s="5" t="s">
        <v>21</v>
      </c>
      <c r="I3991" s="5" t="s">
        <v>10015</v>
      </c>
      <c r="J3991" s="12" t="str">
        <f>HYPERLINK("https://www.boe.es/gazeta/dias/1803/09/30/pdfs/GMD-1803-79.pdf#page=6","Abrir facsímil")</f>
        <v>Abrir facsímil</v>
      </c>
      <c r="K3991" s="15" t="s">
        <v>23</v>
      </c>
    </row>
    <row r="3992" spans="1:11" ht="42" customHeight="1">
      <c r="A3992" s="4" t="s">
        <v>10016</v>
      </c>
      <c r="B3992" s="5" t="s">
        <v>10017</v>
      </c>
      <c r="C3992" s="5" t="s">
        <v>26</v>
      </c>
      <c r="D3992" s="5" t="s">
        <v>27</v>
      </c>
      <c r="E3992" s="5" t="s">
        <v>361</v>
      </c>
      <c r="F3992" s="9">
        <v>62</v>
      </c>
      <c r="G3992" s="9">
        <v>676</v>
      </c>
      <c r="H3992" s="5" t="s">
        <v>21</v>
      </c>
      <c r="I3992" s="5" t="s">
        <v>10018</v>
      </c>
      <c r="J3992" s="12" t="str">
        <f>HYPERLINK("https://www.boe.es/gazeta/dias/1803/08/05/pdfs/GMD-1803-62.pdf#page=8","Abrir facsímil")</f>
        <v>Abrir facsímil</v>
      </c>
      <c r="K3992" s="15" t="s">
        <v>23</v>
      </c>
    </row>
    <row r="3993" spans="1:11" ht="42" customHeight="1">
      <c r="A3993" s="4" t="s">
        <v>10019</v>
      </c>
      <c r="B3993" s="5" t="s">
        <v>10019</v>
      </c>
      <c r="C3993" s="5" t="s">
        <v>26</v>
      </c>
      <c r="D3993" s="5" t="s">
        <v>27</v>
      </c>
      <c r="E3993" s="5" t="s">
        <v>389</v>
      </c>
      <c r="F3993" s="9">
        <v>41</v>
      </c>
      <c r="G3993" s="9">
        <v>428</v>
      </c>
      <c r="H3993" s="5" t="s">
        <v>21</v>
      </c>
      <c r="I3993" s="5" t="s">
        <v>7834</v>
      </c>
      <c r="J3993" s="12" t="str">
        <f>HYPERLINK("https://www.boe.es/gazeta/dias/1803/05/24/pdfs/GMD-1803-41.pdf#page=4","Abrir facsímil")</f>
        <v>Abrir facsímil</v>
      </c>
      <c r="K3993" s="15" t="s">
        <v>23</v>
      </c>
    </row>
    <row r="3994" spans="1:11" ht="42" customHeight="1">
      <c r="A3994" s="4" t="s">
        <v>10020</v>
      </c>
      <c r="B3994" s="5" t="s">
        <v>10021</v>
      </c>
      <c r="C3994" s="5" t="s">
        <v>26</v>
      </c>
      <c r="D3994" s="5" t="s">
        <v>27</v>
      </c>
      <c r="E3994" s="5" t="s">
        <v>619</v>
      </c>
      <c r="F3994" s="9">
        <v>53</v>
      </c>
      <c r="G3994" s="9">
        <v>579</v>
      </c>
      <c r="H3994" s="5" t="s">
        <v>21</v>
      </c>
      <c r="I3994" s="5" t="s">
        <v>10022</v>
      </c>
      <c r="J3994" s="12" t="str">
        <f>HYPERLINK("https://www.boe.es/gazeta/dias/1803/07/05/pdfs/GMD-1803-53.pdf#page=11","Abrir facsímil")</f>
        <v>Abrir facsímil</v>
      </c>
      <c r="K3994" s="15" t="s">
        <v>23</v>
      </c>
    </row>
    <row r="3995" spans="1:11" ht="42" customHeight="1">
      <c r="A3995" s="4" t="s">
        <v>10023</v>
      </c>
      <c r="B3995" s="5" t="s">
        <v>10024</v>
      </c>
      <c r="C3995" s="5" t="s">
        <v>26</v>
      </c>
      <c r="D3995" s="5" t="s">
        <v>27</v>
      </c>
      <c r="E3995" s="5" t="s">
        <v>258</v>
      </c>
      <c r="F3995" s="9">
        <v>7</v>
      </c>
      <c r="G3995" s="9">
        <v>61</v>
      </c>
      <c r="H3995" s="5" t="s">
        <v>21</v>
      </c>
      <c r="I3995" s="5" t="s">
        <v>10025</v>
      </c>
      <c r="J3995" s="12" t="str">
        <f>HYPERLINK("https://www.boe.es/gazeta/dias/1803/01/25/pdfs/GMD-1803-7.pdf#page=1","Abrir facsímil")</f>
        <v>Abrir facsímil</v>
      </c>
      <c r="K3995" s="15" t="s">
        <v>23</v>
      </c>
    </row>
    <row r="3996" spans="1:11" ht="42" customHeight="1">
      <c r="A3996" s="4" t="s">
        <v>10026</v>
      </c>
      <c r="B3996" s="5" t="s">
        <v>10027</v>
      </c>
      <c r="C3996" s="5" t="s">
        <v>26</v>
      </c>
      <c r="D3996" s="5" t="s">
        <v>27</v>
      </c>
      <c r="E3996" s="5" t="s">
        <v>967</v>
      </c>
      <c r="F3996" s="9">
        <v>35</v>
      </c>
      <c r="G3996" s="9">
        <v>367</v>
      </c>
      <c r="H3996" s="5" t="s">
        <v>21</v>
      </c>
      <c r="I3996" s="5" t="s">
        <v>10028</v>
      </c>
      <c r="J3996" s="12" t="str">
        <f>HYPERLINK("https://www.boe.es/gazeta/dias/1803/05/03/pdfs/GMD-1803-35.pdf#page=7","Abrir facsímil")</f>
        <v>Abrir facsímil</v>
      </c>
      <c r="K3996" s="15" t="s">
        <v>23</v>
      </c>
    </row>
    <row r="3997" spans="1:11" ht="42" customHeight="1">
      <c r="A3997" s="4" t="s">
        <v>10029</v>
      </c>
      <c r="B3997" s="5" t="s">
        <v>10030</v>
      </c>
      <c r="C3997" s="5" t="s">
        <v>51</v>
      </c>
      <c r="D3997" s="5" t="s">
        <v>52</v>
      </c>
      <c r="E3997" s="5" t="s">
        <v>657</v>
      </c>
      <c r="F3997" s="9">
        <v>24</v>
      </c>
      <c r="G3997" s="9">
        <v>256</v>
      </c>
      <c r="H3997" s="5" t="s">
        <v>21</v>
      </c>
      <c r="I3997" s="5" t="s">
        <v>10031</v>
      </c>
      <c r="J3997" s="12" t="str">
        <f>HYPERLINK("https://www.boe.es/gazeta/dias/1803/03/25/pdfs/GMD-1803-24.pdf#page=8","Abrir facsímil")</f>
        <v>Abrir facsímil</v>
      </c>
      <c r="K3997" s="15" t="s">
        <v>23</v>
      </c>
    </row>
    <row r="3998" spans="1:11" ht="42" customHeight="1">
      <c r="A3998" s="4" t="s">
        <v>10032</v>
      </c>
      <c r="B3998" s="5" t="s">
        <v>10033</v>
      </c>
      <c r="C3998" s="5" t="s">
        <v>18</v>
      </c>
      <c r="D3998" s="5" t="s">
        <v>19</v>
      </c>
      <c r="E3998" s="5" t="s">
        <v>1915</v>
      </c>
      <c r="F3998" s="9">
        <v>44</v>
      </c>
      <c r="G3998" s="9">
        <v>459</v>
      </c>
      <c r="H3998" s="5" t="s">
        <v>21</v>
      </c>
      <c r="I3998" s="5" t="s">
        <v>10034</v>
      </c>
      <c r="J3998" s="12" t="str">
        <f>HYPERLINK("https://www.boe.es/gazeta/dias/1803/06/03/pdfs/GMD-1803-44.pdf#page=7","Abrir facsímil")</f>
        <v>Abrir facsímil</v>
      </c>
      <c r="K3998" s="15" t="s">
        <v>23</v>
      </c>
    </row>
    <row r="3999" spans="1:11" ht="42" customHeight="1">
      <c r="A3999" s="4" t="s">
        <v>10035</v>
      </c>
      <c r="B3999" s="5" t="s">
        <v>10035</v>
      </c>
      <c r="C3999" s="5" t="s">
        <v>18</v>
      </c>
      <c r="D3999" s="5" t="s">
        <v>19</v>
      </c>
      <c r="E3999" s="5" t="s">
        <v>218</v>
      </c>
      <c r="F3999" s="9">
        <v>19</v>
      </c>
      <c r="G3999" s="9">
        <v>201</v>
      </c>
      <c r="H3999" s="5" t="s">
        <v>21</v>
      </c>
      <c r="I3999" s="5" t="s">
        <v>10036</v>
      </c>
      <c r="J3999" s="12" t="str">
        <f>HYPERLINK("https://www.boe.es/gazeta/dias/1803/03/08/pdfs/GMD-1803-19.pdf#page=9","Abrir facsímil")</f>
        <v>Abrir facsímil</v>
      </c>
      <c r="K3999" s="15" t="s">
        <v>23</v>
      </c>
    </row>
    <row r="4000" spans="1:11" ht="42" customHeight="1">
      <c r="A4000" s="4" t="s">
        <v>10037</v>
      </c>
      <c r="B4000" s="5" t="s">
        <v>10038</v>
      </c>
      <c r="C4000" s="5" t="s">
        <v>51</v>
      </c>
      <c r="D4000" s="5" t="s">
        <v>52</v>
      </c>
      <c r="E4000" s="5" t="s">
        <v>93</v>
      </c>
      <c r="F4000" s="9">
        <v>43</v>
      </c>
      <c r="G4000" s="9">
        <v>452</v>
      </c>
      <c r="H4000" s="5" t="s">
        <v>21</v>
      </c>
      <c r="I4000" s="5" t="s">
        <v>10039</v>
      </c>
      <c r="J4000" s="12" t="str">
        <f>HYPERLINK("https://www.boe.es/gazeta/dias/1803/05/31/pdfs/GMD-1803-43.pdf#page=12","Abrir facsímil")</f>
        <v>Abrir facsímil</v>
      </c>
      <c r="K4000" s="15" t="s">
        <v>23</v>
      </c>
    </row>
    <row r="4001" spans="1:11" ht="42" customHeight="1">
      <c r="A4001" s="4" t="s">
        <v>10040</v>
      </c>
      <c r="B4001" s="5" t="s">
        <v>10041</v>
      </c>
      <c r="C4001" s="5" t="s">
        <v>26</v>
      </c>
      <c r="D4001" s="5" t="s">
        <v>27</v>
      </c>
      <c r="E4001" s="5" t="s">
        <v>117</v>
      </c>
      <c r="F4001" s="9">
        <v>59</v>
      </c>
      <c r="G4001" s="9">
        <v>647</v>
      </c>
      <c r="H4001" s="5" t="s">
        <v>21</v>
      </c>
      <c r="I4001" s="5" t="s">
        <v>10042</v>
      </c>
      <c r="J4001" s="12" t="str">
        <f>HYPERLINK("https://www.boe.es/gazeta/dias/1803/07/26/pdfs/GMD-1803-59.pdf#page=7","Abrir facsímil")</f>
        <v>Abrir facsímil</v>
      </c>
      <c r="K4001" s="15" t="s">
        <v>23</v>
      </c>
    </row>
    <row r="4002" spans="1:11" ht="42" customHeight="1">
      <c r="A4002" s="4" t="s">
        <v>10043</v>
      </c>
      <c r="B4002" s="5" t="s">
        <v>10044</v>
      </c>
      <c r="C4002" s="5" t="s">
        <v>40</v>
      </c>
      <c r="D4002" s="5" t="s">
        <v>41</v>
      </c>
      <c r="E4002" s="5" t="s">
        <v>178</v>
      </c>
      <c r="F4002" s="9">
        <v>36</v>
      </c>
      <c r="G4002" s="9">
        <v>369</v>
      </c>
      <c r="H4002" s="5" t="s">
        <v>21</v>
      </c>
      <c r="I4002" s="5" t="s">
        <v>10045</v>
      </c>
      <c r="J4002" s="12" t="str">
        <f>HYPERLINK("https://www.boe.es/gazeta/dias/1803/05/06/pdfs/GMD-1803-36.pdf#page=1","Abrir facsímil")</f>
        <v>Abrir facsímil</v>
      </c>
      <c r="K4002" s="15" t="s">
        <v>23</v>
      </c>
    </row>
    <row r="4003" spans="1:11" ht="42" customHeight="1">
      <c r="A4003" s="4" t="s">
        <v>10046</v>
      </c>
      <c r="B4003" s="5" t="s">
        <v>10046</v>
      </c>
      <c r="C4003" s="5" t="s">
        <v>40</v>
      </c>
      <c r="D4003" s="5" t="s">
        <v>41</v>
      </c>
      <c r="E4003" s="5" t="s">
        <v>588</v>
      </c>
      <c r="F4003" s="9">
        <v>63</v>
      </c>
      <c r="G4003" s="9">
        <v>681</v>
      </c>
      <c r="H4003" s="5" t="s">
        <v>21</v>
      </c>
      <c r="I4003" s="5" t="s">
        <v>10047</v>
      </c>
      <c r="J4003" s="12" t="str">
        <f>HYPERLINK("https://www.boe.es/gazeta/dias/1803/08/09/pdfs/GMD-1803-63.pdf#page=1","Abrir facsímil")</f>
        <v>Abrir facsímil</v>
      </c>
      <c r="K4003" s="15" t="s">
        <v>23</v>
      </c>
    </row>
    <row r="4004" spans="1:11" ht="42" customHeight="1">
      <c r="A4004" s="4" t="s">
        <v>10048</v>
      </c>
      <c r="B4004" s="5" t="s">
        <v>10048</v>
      </c>
      <c r="C4004" s="5" t="s">
        <v>18</v>
      </c>
      <c r="D4004" s="5" t="s">
        <v>19</v>
      </c>
      <c r="E4004" s="5" t="s">
        <v>53</v>
      </c>
      <c r="F4004" s="9">
        <v>99</v>
      </c>
      <c r="G4004" s="9">
        <v>1055</v>
      </c>
      <c r="H4004" s="5" t="s">
        <v>21</v>
      </c>
      <c r="I4004" s="5" t="s">
        <v>10049</v>
      </c>
      <c r="J4004" s="12" t="str">
        <f>HYPERLINK("https://www.boe.es/gazeta/dias/1803/12/09/pdfs/GMD-1803-99.pdf#page=3","Abrir facsímil")</f>
        <v>Abrir facsímil</v>
      </c>
      <c r="K4004" s="15" t="s">
        <v>23</v>
      </c>
    </row>
    <row r="4005" spans="1:11" ht="42" customHeight="1">
      <c r="A4005" s="4" t="s">
        <v>10050</v>
      </c>
      <c r="B4005" s="5" t="s">
        <v>10051</v>
      </c>
      <c r="C4005" s="5" t="s">
        <v>26</v>
      </c>
      <c r="D4005" s="5" t="s">
        <v>27</v>
      </c>
      <c r="E4005" s="5" t="s">
        <v>199</v>
      </c>
      <c r="F4005" s="9">
        <v>88</v>
      </c>
      <c r="G4005" s="9">
        <v>947</v>
      </c>
      <c r="H4005" s="5" t="s">
        <v>21</v>
      </c>
      <c r="I4005" s="5" t="s">
        <v>10052</v>
      </c>
      <c r="J4005" s="12" t="str">
        <f>HYPERLINK("https://www.boe.es/gazeta/dias/1803/11/01/pdfs/GMD-1803-88.pdf#page=7","Abrir facsímil")</f>
        <v>Abrir facsímil</v>
      </c>
      <c r="K4005" s="15" t="s">
        <v>23</v>
      </c>
    </row>
    <row r="4006" spans="1:11" ht="42" customHeight="1">
      <c r="A4006" s="4" t="s">
        <v>10053</v>
      </c>
      <c r="B4006" s="5" t="s">
        <v>10053</v>
      </c>
      <c r="C4006" s="5" t="s">
        <v>51</v>
      </c>
      <c r="D4006" s="5" t="s">
        <v>52</v>
      </c>
      <c r="E4006" s="5" t="s">
        <v>340</v>
      </c>
      <c r="F4006" s="9">
        <v>55</v>
      </c>
      <c r="G4006" s="9">
        <v>601</v>
      </c>
      <c r="H4006" s="5" t="s">
        <v>21</v>
      </c>
      <c r="I4006" s="5" t="s">
        <v>10054</v>
      </c>
      <c r="J4006" s="12" t="str">
        <f>HYPERLINK("https://www.boe.es/gazeta/dias/1803/07/12/pdfs/GMD-1803-55.pdf#page=9","Abrir facsímil")</f>
        <v>Abrir facsímil</v>
      </c>
      <c r="K4006" s="15" t="s">
        <v>23</v>
      </c>
    </row>
    <row r="4007" spans="1:11" ht="42" customHeight="1">
      <c r="A4007" s="4" t="s">
        <v>10055</v>
      </c>
      <c r="B4007" s="5" t="s">
        <v>10055</v>
      </c>
      <c r="C4007" s="5" t="s">
        <v>40</v>
      </c>
      <c r="D4007" s="5" t="s">
        <v>41</v>
      </c>
      <c r="E4007" s="5" t="s">
        <v>784</v>
      </c>
      <c r="F4007" s="9">
        <v>86</v>
      </c>
      <c r="G4007" s="9">
        <v>927</v>
      </c>
      <c r="H4007" s="5" t="s">
        <v>21</v>
      </c>
      <c r="I4007" s="5" t="s">
        <v>10056</v>
      </c>
      <c r="J4007" s="12" t="str">
        <f>HYPERLINK("https://www.boe.es/gazeta/dias/1803/10/25/pdfs/GMD-1803-86.pdf#page=7","Abrir facsímil")</f>
        <v>Abrir facsímil</v>
      </c>
      <c r="K4007" s="15" t="s">
        <v>23</v>
      </c>
    </row>
    <row r="4008" spans="1:11" ht="42" customHeight="1">
      <c r="A4008" s="4" t="s">
        <v>10055</v>
      </c>
      <c r="B4008" s="5" t="s">
        <v>10055</v>
      </c>
      <c r="C4008" s="5" t="s">
        <v>46</v>
      </c>
      <c r="D4008" s="5" t="s">
        <v>19</v>
      </c>
      <c r="E4008" s="5" t="s">
        <v>496</v>
      </c>
      <c r="F4008" s="9">
        <v>90</v>
      </c>
      <c r="G4008" s="9">
        <v>964</v>
      </c>
      <c r="H4008" s="5" t="s">
        <v>21</v>
      </c>
      <c r="I4008" s="5" t="s">
        <v>10057</v>
      </c>
      <c r="J4008" s="12" t="str">
        <f>HYPERLINK("https://www.boe.es/gazeta/dias/1803/11/08/pdfs/GMD-1803-90.pdf#page=4","Abrir facsímil")</f>
        <v>Abrir facsímil</v>
      </c>
      <c r="K4008" s="15" t="s">
        <v>23</v>
      </c>
    </row>
    <row r="4009" spans="1:11" ht="42" customHeight="1">
      <c r="A4009" s="4" t="s">
        <v>10058</v>
      </c>
      <c r="B4009" s="5" t="s">
        <v>10058</v>
      </c>
      <c r="C4009" s="5" t="s">
        <v>26</v>
      </c>
      <c r="D4009" s="5" t="s">
        <v>27</v>
      </c>
      <c r="E4009" s="5" t="s">
        <v>132</v>
      </c>
      <c r="F4009" s="9">
        <v>58</v>
      </c>
      <c r="G4009" s="9">
        <v>636</v>
      </c>
      <c r="H4009" s="5" t="s">
        <v>21</v>
      </c>
      <c r="I4009" s="5" t="s">
        <v>10059</v>
      </c>
      <c r="J4009" s="12" t="str">
        <f>HYPERLINK("https://www.boe.es/gazeta/dias/1803/07/22/pdfs/GMD-1803-58.pdf#page=8","Abrir facsímil")</f>
        <v>Abrir facsímil</v>
      </c>
      <c r="K4009" s="15" t="s">
        <v>23</v>
      </c>
    </row>
    <row r="4010" spans="1:11" ht="42" customHeight="1">
      <c r="A4010" s="4" t="s">
        <v>10060</v>
      </c>
      <c r="B4010" s="5" t="s">
        <v>10061</v>
      </c>
      <c r="C4010" s="5" t="s">
        <v>40</v>
      </c>
      <c r="D4010" s="5" t="s">
        <v>41</v>
      </c>
      <c r="E4010" s="5" t="s">
        <v>619</v>
      </c>
      <c r="F4010" s="9">
        <v>53</v>
      </c>
      <c r="G4010" s="9">
        <v>575</v>
      </c>
      <c r="H4010" s="5" t="s">
        <v>21</v>
      </c>
      <c r="I4010" s="5" t="s">
        <v>10062</v>
      </c>
      <c r="J4010" s="12" t="str">
        <f>HYPERLINK("https://www.boe.es/gazeta/dias/1803/07/05/pdfs/GMD-1803-53.pdf#page=7","Abrir facsímil")</f>
        <v>Abrir facsímil</v>
      </c>
      <c r="K4010" s="15" t="s">
        <v>23</v>
      </c>
    </row>
    <row r="4011" spans="1:11" ht="42" customHeight="1">
      <c r="A4011" s="4" t="s">
        <v>10063</v>
      </c>
      <c r="B4011" s="5" t="s">
        <v>10063</v>
      </c>
      <c r="C4011" s="5" t="s">
        <v>40</v>
      </c>
      <c r="D4011" s="5" t="s">
        <v>41</v>
      </c>
      <c r="E4011" s="5" t="s">
        <v>571</v>
      </c>
      <c r="F4011" s="9">
        <v>103</v>
      </c>
      <c r="G4011" s="9">
        <v>1101</v>
      </c>
      <c r="H4011" s="5" t="s">
        <v>21</v>
      </c>
      <c r="I4011" s="5" t="s">
        <v>10064</v>
      </c>
      <c r="J4011" s="12" t="str">
        <f>HYPERLINK("https://www.boe.es/gazeta/dias/1803/12/23/pdfs/GMD-1803-103.pdf#page=1","Abrir facsímil")</f>
        <v>Abrir facsímil</v>
      </c>
      <c r="K4011" s="15" t="s">
        <v>23</v>
      </c>
    </row>
    <row r="4012" spans="1:11" ht="42" customHeight="1">
      <c r="A4012" s="4" t="s">
        <v>10065</v>
      </c>
      <c r="B4012" s="5" t="s">
        <v>10066</v>
      </c>
      <c r="C4012" s="5" t="s">
        <v>26</v>
      </c>
      <c r="D4012" s="5" t="s">
        <v>27</v>
      </c>
      <c r="E4012" s="5" t="s">
        <v>403</v>
      </c>
      <c r="F4012" s="9">
        <v>91</v>
      </c>
      <c r="G4012" s="9">
        <v>976</v>
      </c>
      <c r="H4012" s="5" t="s">
        <v>21</v>
      </c>
      <c r="I4012" s="5" t="s">
        <v>10067</v>
      </c>
      <c r="J4012" s="12" t="str">
        <f>HYPERLINK("https://www.boe.es/gazeta/dias/1803/11/11/pdfs/GMD-1803-91.pdf#page=8","Abrir facsímil")</f>
        <v>Abrir facsímil</v>
      </c>
      <c r="K4012" s="15" t="s">
        <v>23</v>
      </c>
    </row>
    <row r="4013" spans="1:11" ht="42" customHeight="1">
      <c r="A4013" s="4" t="s">
        <v>10068</v>
      </c>
      <c r="B4013" s="5" t="s">
        <v>10069</v>
      </c>
      <c r="C4013" s="5" t="s">
        <v>26</v>
      </c>
      <c r="D4013" s="5" t="s">
        <v>27</v>
      </c>
      <c r="E4013" s="5" t="s">
        <v>501</v>
      </c>
      <c r="F4013" s="9">
        <v>22</v>
      </c>
      <c r="G4013" s="9">
        <v>238</v>
      </c>
      <c r="H4013" s="5" t="s">
        <v>21</v>
      </c>
      <c r="I4013" s="5" t="s">
        <v>10070</v>
      </c>
      <c r="J4013" s="12" t="str">
        <f>HYPERLINK("https://www.boe.es/gazeta/dias/1803/03/18/pdfs/GMD-1803-22.pdf#page=10","Abrir facsímil")</f>
        <v>Abrir facsímil</v>
      </c>
      <c r="K4013" s="15" t="s">
        <v>23</v>
      </c>
    </row>
    <row r="4014" spans="1:11" ht="42" customHeight="1">
      <c r="A4014" s="4" t="s">
        <v>10071</v>
      </c>
      <c r="B4014" s="5" t="s">
        <v>10072</v>
      </c>
      <c r="C4014" s="5" t="s">
        <v>26</v>
      </c>
      <c r="D4014" s="5" t="s">
        <v>27</v>
      </c>
      <c r="E4014" s="5" t="s">
        <v>218</v>
      </c>
      <c r="F4014" s="9">
        <v>19</v>
      </c>
      <c r="G4014" s="9">
        <v>201</v>
      </c>
      <c r="H4014" s="5" t="s">
        <v>21</v>
      </c>
      <c r="I4014" s="5" t="s">
        <v>10073</v>
      </c>
      <c r="J4014" s="12" t="str">
        <f>HYPERLINK("https://www.boe.es/gazeta/dias/1803/03/08/pdfs/GMD-1803-19.pdf#page=9","Abrir facsímil")</f>
        <v>Abrir facsímil</v>
      </c>
      <c r="K4014" s="15" t="s">
        <v>23</v>
      </c>
    </row>
    <row r="4015" spans="1:11" ht="42" customHeight="1">
      <c r="A4015" s="4" t="s">
        <v>10074</v>
      </c>
      <c r="B4015" s="5" t="s">
        <v>10075</v>
      </c>
      <c r="C4015" s="5" t="s">
        <v>26</v>
      </c>
      <c r="D4015" s="5" t="s">
        <v>27</v>
      </c>
      <c r="E4015" s="5" t="s">
        <v>191</v>
      </c>
      <c r="F4015" s="9">
        <v>34</v>
      </c>
      <c r="G4015" s="9">
        <v>358</v>
      </c>
      <c r="H4015" s="5" t="s">
        <v>21</v>
      </c>
      <c r="I4015" s="5" t="s">
        <v>10076</v>
      </c>
      <c r="J4015" s="12" t="str">
        <f>HYPERLINK("https://www.boe.es/gazeta/dias/1803/04/29/pdfs/GMD-1803-34.pdf#page=6","Abrir facsímil")</f>
        <v>Abrir facsímil</v>
      </c>
      <c r="K4015" s="15" t="s">
        <v>23</v>
      </c>
    </row>
    <row r="4016" spans="1:11" ht="42" customHeight="1">
      <c r="A4016" s="4" t="s">
        <v>10077</v>
      </c>
      <c r="B4016" s="5" t="s">
        <v>10077</v>
      </c>
      <c r="C4016" s="5" t="s">
        <v>40</v>
      </c>
      <c r="D4016" s="5" t="s">
        <v>41</v>
      </c>
      <c r="E4016" s="5" t="s">
        <v>571</v>
      </c>
      <c r="F4016" s="9">
        <v>103</v>
      </c>
      <c r="G4016" s="9">
        <v>1101</v>
      </c>
      <c r="H4016" s="5" t="s">
        <v>21</v>
      </c>
      <c r="I4016" s="5" t="s">
        <v>10078</v>
      </c>
      <c r="J4016" s="12" t="str">
        <f>HYPERLINK("https://www.boe.es/gazeta/dias/1803/12/23/pdfs/GMD-1803-103.pdf#page=1","Abrir facsímil")</f>
        <v>Abrir facsímil</v>
      </c>
      <c r="K4016" s="15" t="s">
        <v>23</v>
      </c>
    </row>
    <row r="4017" spans="1:11" ht="42" customHeight="1">
      <c r="A4017" s="4" t="s">
        <v>10079</v>
      </c>
      <c r="B4017" s="5" t="s">
        <v>10079</v>
      </c>
      <c r="C4017" s="5" t="s">
        <v>40</v>
      </c>
      <c r="D4017" s="5" t="s">
        <v>41</v>
      </c>
      <c r="E4017" s="5" t="s">
        <v>332</v>
      </c>
      <c r="F4017" s="9">
        <v>11</v>
      </c>
      <c r="G4017" s="9">
        <v>105</v>
      </c>
      <c r="H4017" s="5" t="s">
        <v>21</v>
      </c>
      <c r="I4017" s="5" t="s">
        <v>10080</v>
      </c>
      <c r="J4017" s="12" t="str">
        <f>HYPERLINK("https://www.boe.es/gazeta/dias/1803/02/08/pdfs/GMD-1803-11.pdf#page=1","Abrir facsímil")</f>
        <v>Abrir facsímil</v>
      </c>
      <c r="K4017" s="15" t="s">
        <v>23</v>
      </c>
    </row>
    <row r="4018" spans="1:11" ht="42" customHeight="1">
      <c r="A4018" s="4" t="s">
        <v>10081</v>
      </c>
      <c r="B4018" s="5" t="s">
        <v>10082</v>
      </c>
      <c r="C4018" s="5" t="s">
        <v>40</v>
      </c>
      <c r="D4018" s="5" t="s">
        <v>41</v>
      </c>
      <c r="E4018" s="5" t="s">
        <v>42</v>
      </c>
      <c r="F4018" s="9">
        <v>10</v>
      </c>
      <c r="G4018" s="9">
        <v>97</v>
      </c>
      <c r="H4018" s="5" t="s">
        <v>21</v>
      </c>
      <c r="I4018" s="5" t="s">
        <v>10083</v>
      </c>
      <c r="J4018" s="12" t="str">
        <f>HYPERLINK("https://www.boe.es/gazeta/dias/1803/02/04/pdfs/GMD-1803-10.pdf#page=1","Abrir facsímil")</f>
        <v>Abrir facsímil</v>
      </c>
      <c r="K4018" s="15" t="s">
        <v>23</v>
      </c>
    </row>
    <row r="4019" spans="1:11" ht="42" customHeight="1">
      <c r="A4019" s="4" t="s">
        <v>10081</v>
      </c>
      <c r="B4019" s="5" t="s">
        <v>10082</v>
      </c>
      <c r="C4019" s="5" t="s">
        <v>51</v>
      </c>
      <c r="D4019" s="5" t="s">
        <v>52</v>
      </c>
      <c r="E4019" s="5" t="s">
        <v>85</v>
      </c>
      <c r="F4019" s="9">
        <v>49</v>
      </c>
      <c r="G4019" s="9">
        <v>517</v>
      </c>
      <c r="H4019" s="5" t="s">
        <v>21</v>
      </c>
      <c r="I4019" s="5" t="s">
        <v>10084</v>
      </c>
      <c r="J4019" s="12" t="str">
        <f>HYPERLINK("https://www.boe.es/gazeta/dias/1803/06/21/pdfs/GMD-1803-49.pdf#page=5","Abrir facsímil")</f>
        <v>Abrir facsímil</v>
      </c>
      <c r="K4019" s="15" t="s">
        <v>23</v>
      </c>
    </row>
    <row r="4020" spans="1:11" ht="42" customHeight="1">
      <c r="A4020" s="4" t="s">
        <v>10081</v>
      </c>
      <c r="B4020" s="5" t="s">
        <v>10082</v>
      </c>
      <c r="C4020" s="5" t="s">
        <v>40</v>
      </c>
      <c r="D4020" s="5" t="s">
        <v>41</v>
      </c>
      <c r="E4020" s="5" t="s">
        <v>328</v>
      </c>
      <c r="F4020" s="9">
        <v>54</v>
      </c>
      <c r="G4020" s="9">
        <v>586</v>
      </c>
      <c r="H4020" s="5" t="s">
        <v>21</v>
      </c>
      <c r="I4020" s="5" t="s">
        <v>10085</v>
      </c>
      <c r="J4020" s="12" t="str">
        <f>HYPERLINK("https://www.boe.es/gazeta/dias/1803/07/08/pdfs/GMD-1803-54.pdf#page=6","Abrir facsímil")</f>
        <v>Abrir facsímil</v>
      </c>
      <c r="K4020" s="15" t="s">
        <v>23</v>
      </c>
    </row>
    <row r="4021" spans="1:11" ht="42" customHeight="1">
      <c r="A4021" s="4" t="s">
        <v>10086</v>
      </c>
      <c r="B4021" s="5" t="s">
        <v>10086</v>
      </c>
      <c r="C4021" s="5" t="s">
        <v>40</v>
      </c>
      <c r="D4021" s="5" t="s">
        <v>41</v>
      </c>
      <c r="E4021" s="5" t="s">
        <v>42</v>
      </c>
      <c r="F4021" s="9">
        <v>10</v>
      </c>
      <c r="G4021" s="9">
        <v>100</v>
      </c>
      <c r="H4021" s="5" t="s">
        <v>21</v>
      </c>
      <c r="I4021" s="5" t="s">
        <v>10087</v>
      </c>
      <c r="J4021" s="12" t="str">
        <f>HYPERLINK("https://www.boe.es/gazeta/dias/1803/02/04/pdfs/GMD-1803-10.pdf#page=4","Abrir facsímil")</f>
        <v>Abrir facsímil</v>
      </c>
      <c r="K4021" s="15" t="s">
        <v>23</v>
      </c>
    </row>
    <row r="4022" spans="1:11" ht="42" customHeight="1">
      <c r="A4022" s="4" t="s">
        <v>10088</v>
      </c>
      <c r="B4022" s="5" t="s">
        <v>10089</v>
      </c>
      <c r="C4022" s="5" t="s">
        <v>40</v>
      </c>
      <c r="D4022" s="5" t="s">
        <v>41</v>
      </c>
      <c r="E4022" s="5" t="s">
        <v>395</v>
      </c>
      <c r="F4022" s="9">
        <v>13</v>
      </c>
      <c r="G4022" s="9">
        <v>125</v>
      </c>
      <c r="H4022" s="5" t="s">
        <v>21</v>
      </c>
      <c r="I4022" s="5" t="s">
        <v>10090</v>
      </c>
      <c r="J4022" s="12" t="str">
        <f>HYPERLINK("https://www.boe.es/gazeta/dias/1803/02/15/pdfs/GMD-1803-13.pdf#page=1","Abrir facsímil")</f>
        <v>Abrir facsímil</v>
      </c>
      <c r="K4022" s="15" t="s">
        <v>23</v>
      </c>
    </row>
    <row r="4023" spans="1:11" ht="42" customHeight="1">
      <c r="A4023" s="4" t="s">
        <v>10091</v>
      </c>
      <c r="B4023" s="5" t="s">
        <v>10092</v>
      </c>
      <c r="C4023" s="5" t="s">
        <v>40</v>
      </c>
      <c r="D4023" s="5" t="s">
        <v>41</v>
      </c>
      <c r="E4023" s="5" t="s">
        <v>313</v>
      </c>
      <c r="F4023" s="9">
        <v>14</v>
      </c>
      <c r="G4023" s="9">
        <v>140</v>
      </c>
      <c r="H4023" s="5" t="s">
        <v>21</v>
      </c>
      <c r="I4023" s="5" t="s">
        <v>10093</v>
      </c>
      <c r="J4023" s="12" t="str">
        <f>HYPERLINK("https://www.boe.es/gazeta/dias/1803/02/18/pdfs/GMD-1803-14.pdf#page=4","Abrir facsímil")</f>
        <v>Abrir facsímil</v>
      </c>
      <c r="K4023" s="15" t="s">
        <v>23</v>
      </c>
    </row>
    <row r="4024" spans="1:11" ht="42" customHeight="1">
      <c r="A4024" s="4" t="s">
        <v>10091</v>
      </c>
      <c r="B4024" s="5" t="s">
        <v>10092</v>
      </c>
      <c r="C4024" s="5" t="s">
        <v>40</v>
      </c>
      <c r="D4024" s="5" t="s">
        <v>41</v>
      </c>
      <c r="E4024" s="5" t="s">
        <v>152</v>
      </c>
      <c r="F4024" s="9">
        <v>16</v>
      </c>
      <c r="G4024" s="9">
        <v>164</v>
      </c>
      <c r="H4024" s="5" t="s">
        <v>21</v>
      </c>
      <c r="I4024" s="5" t="s">
        <v>10094</v>
      </c>
      <c r="J4024" s="12" t="str">
        <f>HYPERLINK("https://www.boe.es/gazeta/dias/1803/02/25/pdfs/GMD-1803-16.pdf#page=4","Abrir facsímil")</f>
        <v>Abrir facsímil</v>
      </c>
      <c r="K4024" s="15" t="s">
        <v>23</v>
      </c>
    </row>
    <row r="4025" spans="1:11" ht="42" customHeight="1">
      <c r="A4025" s="4" t="s">
        <v>10091</v>
      </c>
      <c r="B4025" s="5" t="s">
        <v>10092</v>
      </c>
      <c r="C4025" s="5" t="s">
        <v>40</v>
      </c>
      <c r="D4025" s="5" t="s">
        <v>41</v>
      </c>
      <c r="E4025" s="5" t="s">
        <v>214</v>
      </c>
      <c r="F4025" s="9">
        <v>17</v>
      </c>
      <c r="G4025" s="9">
        <v>175</v>
      </c>
      <c r="H4025" s="5" t="s">
        <v>21</v>
      </c>
      <c r="I4025" s="5" t="s">
        <v>10095</v>
      </c>
      <c r="J4025" s="12" t="str">
        <f>HYPERLINK("https://www.boe.es/gazeta/dias/1803/03/01/pdfs/GMD-1803-17.pdf#page=7","Abrir facsímil")</f>
        <v>Abrir facsímil</v>
      </c>
      <c r="K4025" s="15" t="s">
        <v>23</v>
      </c>
    </row>
    <row r="4026" spans="1:11" ht="42" customHeight="1">
      <c r="A4026" s="4" t="s">
        <v>10091</v>
      </c>
      <c r="B4026" s="5" t="s">
        <v>10092</v>
      </c>
      <c r="C4026" s="5" t="s">
        <v>40</v>
      </c>
      <c r="D4026" s="5" t="s">
        <v>41</v>
      </c>
      <c r="E4026" s="5" t="s">
        <v>514</v>
      </c>
      <c r="F4026" s="9">
        <v>42</v>
      </c>
      <c r="G4026" s="9">
        <v>433</v>
      </c>
      <c r="H4026" s="5" t="s">
        <v>21</v>
      </c>
      <c r="I4026" s="5" t="s">
        <v>10096</v>
      </c>
      <c r="J4026" s="12" t="str">
        <f>HYPERLINK("https://www.boe.es/gazeta/dias/1803/05/27/pdfs/GMD-1803-42.pdf#page=1","Abrir facsímil")</f>
        <v>Abrir facsímil</v>
      </c>
      <c r="K4026" s="15" t="s">
        <v>23</v>
      </c>
    </row>
    <row r="4027" spans="1:11" ht="42" customHeight="1">
      <c r="A4027" s="4" t="s">
        <v>10091</v>
      </c>
      <c r="B4027" s="5" t="s">
        <v>10092</v>
      </c>
      <c r="C4027" s="5" t="s">
        <v>51</v>
      </c>
      <c r="D4027" s="5" t="s">
        <v>52</v>
      </c>
      <c r="E4027" s="5" t="s">
        <v>85</v>
      </c>
      <c r="F4027" s="9">
        <v>49</v>
      </c>
      <c r="G4027" s="9">
        <v>518</v>
      </c>
      <c r="H4027" s="5" t="s">
        <v>21</v>
      </c>
      <c r="I4027" s="5" t="s">
        <v>10097</v>
      </c>
      <c r="J4027" s="12" t="str">
        <f>HYPERLINK("https://www.boe.es/gazeta/dias/1803/06/21/pdfs/GMD-1803-49.pdf#page=6","Abrir facsímil")</f>
        <v>Abrir facsímil</v>
      </c>
      <c r="K4027" s="15" t="s">
        <v>23</v>
      </c>
    </row>
    <row r="4028" spans="1:11" ht="42" customHeight="1">
      <c r="A4028" s="4" t="s">
        <v>10091</v>
      </c>
      <c r="B4028" s="5" t="s">
        <v>10092</v>
      </c>
      <c r="C4028" s="5" t="s">
        <v>40</v>
      </c>
      <c r="D4028" s="5" t="s">
        <v>41</v>
      </c>
      <c r="E4028" s="5" t="s">
        <v>57</v>
      </c>
      <c r="F4028" s="9">
        <v>51</v>
      </c>
      <c r="G4028" s="9">
        <v>548</v>
      </c>
      <c r="H4028" s="5" t="s">
        <v>21</v>
      </c>
      <c r="I4028" s="5" t="s">
        <v>10098</v>
      </c>
      <c r="J4028" s="12" t="str">
        <f>HYPERLINK("https://www.boe.es/gazeta/dias/1803/06/28/pdfs/GMD-1803-51.pdf#page=4","Abrir facsímil")</f>
        <v>Abrir facsímil</v>
      </c>
      <c r="K4028" s="15" t="s">
        <v>23</v>
      </c>
    </row>
    <row r="4029" spans="1:11" ht="42" customHeight="1">
      <c r="A4029" s="4" t="s">
        <v>10091</v>
      </c>
      <c r="B4029" s="5" t="s">
        <v>10092</v>
      </c>
      <c r="C4029" s="5" t="s">
        <v>26</v>
      </c>
      <c r="D4029" s="5" t="s">
        <v>27</v>
      </c>
      <c r="E4029" s="5" t="s">
        <v>619</v>
      </c>
      <c r="F4029" s="9">
        <v>53</v>
      </c>
      <c r="G4029" s="9">
        <v>573</v>
      </c>
      <c r="H4029" s="5" t="s">
        <v>21</v>
      </c>
      <c r="I4029" s="5" t="s">
        <v>10099</v>
      </c>
      <c r="J4029" s="12" t="str">
        <f>HYPERLINK("https://www.boe.es/gazeta/dias/1803/07/05/pdfs/GMD-1803-53.pdf#page=5","Abrir facsímil")</f>
        <v>Abrir facsímil</v>
      </c>
      <c r="K4029" s="15" t="s">
        <v>23</v>
      </c>
    </row>
    <row r="4030" spans="1:11" ht="42" customHeight="1">
      <c r="A4030" s="4" t="s">
        <v>10100</v>
      </c>
      <c r="B4030" s="5" t="s">
        <v>10101</v>
      </c>
      <c r="C4030" s="5" t="s">
        <v>51</v>
      </c>
      <c r="D4030" s="5" t="s">
        <v>52</v>
      </c>
      <c r="E4030" s="5" t="s">
        <v>148</v>
      </c>
      <c r="F4030" s="9">
        <v>15</v>
      </c>
      <c r="G4030" s="9">
        <v>153</v>
      </c>
      <c r="H4030" s="5" t="s">
        <v>21</v>
      </c>
      <c r="I4030" s="5" t="s">
        <v>10102</v>
      </c>
      <c r="J4030" s="12" t="str">
        <f>HYPERLINK("https://www.boe.es/gazeta/dias/1803/02/22/pdfs/GMD-1803-15.pdf#page=5","Abrir facsímil")</f>
        <v>Abrir facsímil</v>
      </c>
      <c r="K4030" s="15" t="s">
        <v>23</v>
      </c>
    </row>
    <row r="4031" spans="1:11" ht="42" customHeight="1">
      <c r="A4031" s="4" t="s">
        <v>10103</v>
      </c>
      <c r="B4031" s="5" t="s">
        <v>10103</v>
      </c>
      <c r="C4031" s="5" t="s">
        <v>40</v>
      </c>
      <c r="D4031" s="5" t="s">
        <v>41</v>
      </c>
      <c r="E4031" s="5" t="s">
        <v>630</v>
      </c>
      <c r="F4031" s="9">
        <v>85</v>
      </c>
      <c r="G4031" s="9">
        <v>913</v>
      </c>
      <c r="H4031" s="5" t="s">
        <v>21</v>
      </c>
      <c r="I4031" s="5" t="s">
        <v>10104</v>
      </c>
      <c r="J4031" s="12" t="str">
        <f>HYPERLINK("https://www.boe.es/gazeta/dias/1803/10/21/pdfs/GMD-1803-85.pdf#page=5","Abrir facsímil")</f>
        <v>Abrir facsímil</v>
      </c>
      <c r="K4031" s="15" t="s">
        <v>23</v>
      </c>
    </row>
    <row r="4032" spans="1:11" ht="42" customHeight="1">
      <c r="A4032" s="4" t="s">
        <v>10105</v>
      </c>
      <c r="B4032" s="5" t="s">
        <v>10106</v>
      </c>
      <c r="C4032" s="5" t="s">
        <v>51</v>
      </c>
      <c r="D4032" s="5" t="s">
        <v>52</v>
      </c>
      <c r="E4032" s="5" t="s">
        <v>32</v>
      </c>
      <c r="F4032" s="9">
        <v>74</v>
      </c>
      <c r="G4032" s="9">
        <v>803</v>
      </c>
      <c r="H4032" s="5" t="s">
        <v>21</v>
      </c>
      <c r="I4032" s="5" t="s">
        <v>10107</v>
      </c>
      <c r="J4032" s="12" t="str">
        <f>HYPERLINK("https://www.boe.es/gazeta/dias/1803/09/13/pdfs/GMD-1803-74.pdf#page=7","Abrir facsímil")</f>
        <v>Abrir facsímil</v>
      </c>
      <c r="K4032" s="15" t="s">
        <v>23</v>
      </c>
    </row>
    <row r="4033" spans="1:11" ht="42" customHeight="1">
      <c r="A4033" s="4" t="s">
        <v>10108</v>
      </c>
      <c r="B4033" s="5" t="s">
        <v>10108</v>
      </c>
      <c r="C4033" s="5" t="s">
        <v>51</v>
      </c>
      <c r="D4033" s="5" t="s">
        <v>52</v>
      </c>
      <c r="E4033" s="5" t="s">
        <v>300</v>
      </c>
      <c r="F4033" s="9">
        <v>96</v>
      </c>
      <c r="G4033" s="9">
        <v>1032</v>
      </c>
      <c r="H4033" s="5" t="s">
        <v>21</v>
      </c>
      <c r="I4033" s="5" t="s">
        <v>10109</v>
      </c>
      <c r="J4033" s="12" t="str">
        <f>HYPERLINK("https://www.boe.es/gazeta/dias/1803/11/29/pdfs/GMD-1803-96.pdf#page=8","Abrir facsímil")</f>
        <v>Abrir facsímil</v>
      </c>
      <c r="K4033" s="15" t="s">
        <v>23</v>
      </c>
    </row>
    <row r="4034" spans="1:11" ht="42" customHeight="1">
      <c r="A4034" s="4" t="s">
        <v>10110</v>
      </c>
      <c r="B4034" s="5" t="s">
        <v>10111</v>
      </c>
      <c r="C4034" s="5" t="s">
        <v>26</v>
      </c>
      <c r="D4034" s="5" t="s">
        <v>27</v>
      </c>
      <c r="E4034" s="5" t="s">
        <v>28</v>
      </c>
      <c r="F4034" s="9">
        <v>92</v>
      </c>
      <c r="G4034" s="9">
        <v>986</v>
      </c>
      <c r="H4034" s="5" t="s">
        <v>21</v>
      </c>
      <c r="I4034" s="5" t="s">
        <v>10112</v>
      </c>
      <c r="J4034" s="12" t="str">
        <f>HYPERLINK("https://www.boe.es/gazeta/dias/1803/11/15/pdfs/GMD-1803-92.pdf#page=6","Abrir facsímil")</f>
        <v>Abrir facsímil</v>
      </c>
      <c r="K4034" s="15" t="s">
        <v>23</v>
      </c>
    </row>
    <row r="4035" spans="1:11" ht="42" customHeight="1">
      <c r="A4035" s="4" t="s">
        <v>10113</v>
      </c>
      <c r="B4035" s="5" t="s">
        <v>10114</v>
      </c>
      <c r="C4035" s="5" t="s">
        <v>18</v>
      </c>
      <c r="D4035" s="5" t="s">
        <v>19</v>
      </c>
      <c r="E4035" s="5" t="s">
        <v>109</v>
      </c>
      <c r="F4035" s="9">
        <v>102</v>
      </c>
      <c r="G4035" s="9">
        <v>1097</v>
      </c>
      <c r="H4035" s="5" t="s">
        <v>21</v>
      </c>
      <c r="I4035" s="5" t="s">
        <v>10115</v>
      </c>
      <c r="J4035" s="12" t="str">
        <f>HYPERLINK("https://www.boe.es/gazeta/dias/1803/12/20/pdfs/GMD-1803-102.pdf#page=9","Abrir facsímil")</f>
        <v>Abrir facsímil</v>
      </c>
      <c r="K4035" s="15" t="s">
        <v>23</v>
      </c>
    </row>
    <row r="4036" spans="1:11" ht="42" customHeight="1">
      <c r="A4036" s="4" t="s">
        <v>10116</v>
      </c>
      <c r="B4036" s="5" t="s">
        <v>10117</v>
      </c>
      <c r="C4036" s="5" t="s">
        <v>80</v>
      </c>
      <c r="D4036" s="5" t="s">
        <v>81</v>
      </c>
      <c r="E4036" s="5" t="s">
        <v>191</v>
      </c>
      <c r="F4036" s="9">
        <v>34</v>
      </c>
      <c r="G4036" s="9" t="s">
        <v>1985</v>
      </c>
      <c r="H4036" s="5" t="s">
        <v>21</v>
      </c>
      <c r="I4036" s="5" t="s">
        <v>10118</v>
      </c>
      <c r="J4036" s="12" t="str">
        <f>HYPERLINK("https://www.boe.es/gazeta/dias/1803/04/29/pdfs/GMD-C-1803-34.pdf#page=8","Abrir facsímil")</f>
        <v>Abrir facsímil</v>
      </c>
      <c r="K4036" s="15" t="s">
        <v>23</v>
      </c>
    </row>
    <row r="4037" spans="1:11" ht="42" customHeight="1">
      <c r="A4037" s="4" t="s">
        <v>10119</v>
      </c>
      <c r="B4037" s="5" t="s">
        <v>10119</v>
      </c>
      <c r="C4037" s="5" t="s">
        <v>26</v>
      </c>
      <c r="D4037" s="5" t="s">
        <v>27</v>
      </c>
      <c r="E4037" s="5" t="s">
        <v>609</v>
      </c>
      <c r="F4037" s="9">
        <v>57</v>
      </c>
      <c r="G4037" s="9">
        <v>616</v>
      </c>
      <c r="H4037" s="5" t="s">
        <v>21</v>
      </c>
      <c r="I4037" s="5" t="s">
        <v>10120</v>
      </c>
      <c r="J4037" s="12" t="str">
        <f>HYPERLINK("https://www.boe.es/gazeta/dias/1803/07/19/pdfs/GMD-1803-57.pdf#page=4","Abrir facsímil")</f>
        <v>Abrir facsímil</v>
      </c>
      <c r="K4037" s="15" t="s">
        <v>23</v>
      </c>
    </row>
    <row r="4038" spans="1:11" ht="42" customHeight="1">
      <c r="A4038" s="4" t="s">
        <v>10121</v>
      </c>
      <c r="B4038" s="5" t="s">
        <v>10122</v>
      </c>
      <c r="C4038" s="5" t="s">
        <v>26</v>
      </c>
      <c r="D4038" s="5" t="s">
        <v>27</v>
      </c>
      <c r="E4038" s="5" t="s">
        <v>32</v>
      </c>
      <c r="F4038" s="9">
        <v>74</v>
      </c>
      <c r="G4038" s="9">
        <v>802</v>
      </c>
      <c r="H4038" s="5" t="s">
        <v>21</v>
      </c>
      <c r="I4038" s="5" t="s">
        <v>10123</v>
      </c>
      <c r="J4038" s="12" t="str">
        <f>HYPERLINK("https://www.boe.es/gazeta/dias/1803/09/13/pdfs/GMD-1803-74.pdf#page=6","Abrir facsímil")</f>
        <v>Abrir facsímil</v>
      </c>
      <c r="K4038" s="15" t="s">
        <v>23</v>
      </c>
    </row>
    <row r="4039" spans="1:11" ht="42" customHeight="1">
      <c r="A4039" s="4" t="s">
        <v>10124</v>
      </c>
      <c r="B4039" s="5" t="s">
        <v>10125</v>
      </c>
      <c r="C4039" s="5" t="s">
        <v>26</v>
      </c>
      <c r="D4039" s="5" t="s">
        <v>27</v>
      </c>
      <c r="E4039" s="5" t="s">
        <v>61</v>
      </c>
      <c r="F4039" s="9">
        <v>67</v>
      </c>
      <c r="G4039" s="9">
        <v>729</v>
      </c>
      <c r="H4039" s="5" t="s">
        <v>21</v>
      </c>
      <c r="I4039" s="5" t="s">
        <v>10126</v>
      </c>
      <c r="J4039" s="12" t="str">
        <f>HYPERLINK("https://www.boe.es/gazeta/dias/1803/08/23/pdfs/GMD-1803-67.pdf#page=9","Abrir facsímil")</f>
        <v>Abrir facsímil</v>
      </c>
      <c r="K4039" s="15" t="s">
        <v>23</v>
      </c>
    </row>
    <row r="4040" spans="1:11" ht="42" customHeight="1">
      <c r="A4040" s="4" t="s">
        <v>10127</v>
      </c>
      <c r="B4040" s="5" t="s">
        <v>10128</v>
      </c>
      <c r="C4040" s="5" t="s">
        <v>26</v>
      </c>
      <c r="D4040" s="5" t="s">
        <v>27</v>
      </c>
      <c r="E4040" s="5" t="s">
        <v>214</v>
      </c>
      <c r="F4040" s="9">
        <v>17</v>
      </c>
      <c r="G4040" s="9">
        <v>179</v>
      </c>
      <c r="H4040" s="5" t="s">
        <v>21</v>
      </c>
      <c r="I4040" s="5" t="s">
        <v>10129</v>
      </c>
      <c r="J4040" s="12" t="str">
        <f>HYPERLINK("https://www.boe.es/gazeta/dias/1803/03/01/pdfs/GMD-1803-17.pdf#page=11","Abrir facsímil")</f>
        <v>Abrir facsímil</v>
      </c>
      <c r="K4040" s="15" t="s">
        <v>23</v>
      </c>
    </row>
    <row r="4041" spans="1:11" ht="42" customHeight="1">
      <c r="A4041" s="4" t="s">
        <v>10130</v>
      </c>
      <c r="B4041" s="5" t="s">
        <v>10130</v>
      </c>
      <c r="C4041" s="5" t="s">
        <v>26</v>
      </c>
      <c r="D4041" s="5" t="s">
        <v>27</v>
      </c>
      <c r="E4041" s="5" t="s">
        <v>32</v>
      </c>
      <c r="F4041" s="9">
        <v>74</v>
      </c>
      <c r="G4041" s="9">
        <v>803</v>
      </c>
      <c r="H4041" s="5" t="s">
        <v>21</v>
      </c>
      <c r="I4041" s="5" t="s">
        <v>10131</v>
      </c>
      <c r="J4041" s="12" t="str">
        <f>HYPERLINK("https://www.boe.es/gazeta/dias/1803/09/13/pdfs/GMD-1803-74.pdf#page=7","Abrir facsímil")</f>
        <v>Abrir facsímil</v>
      </c>
      <c r="K4041" s="15" t="s">
        <v>23</v>
      </c>
    </row>
    <row r="4042" spans="1:11" ht="42" customHeight="1">
      <c r="A4042" s="4" t="s">
        <v>10132</v>
      </c>
      <c r="B4042" s="5" t="s">
        <v>10132</v>
      </c>
      <c r="C4042" s="5" t="s">
        <v>26</v>
      </c>
      <c r="D4042" s="5" t="s">
        <v>27</v>
      </c>
      <c r="E4042" s="5" t="s">
        <v>263</v>
      </c>
      <c r="F4042" s="9">
        <v>75</v>
      </c>
      <c r="G4042" s="9">
        <v>811</v>
      </c>
      <c r="H4042" s="5" t="s">
        <v>21</v>
      </c>
      <c r="I4042" s="5" t="s">
        <v>10133</v>
      </c>
      <c r="J4042" s="12" t="str">
        <f>HYPERLINK("https://www.boe.es/gazeta/dias/1803/09/16/pdfs/GMD-1803-75.pdf#page=7","Abrir facsímil")</f>
        <v>Abrir facsímil</v>
      </c>
      <c r="K4042" s="15" t="s">
        <v>23</v>
      </c>
    </row>
    <row r="4043" spans="1:11" ht="42" customHeight="1">
      <c r="A4043" s="4" t="s">
        <v>10134</v>
      </c>
      <c r="B4043" s="5" t="s">
        <v>10135</v>
      </c>
      <c r="C4043" s="5" t="s">
        <v>40</v>
      </c>
      <c r="D4043" s="5" t="s">
        <v>41</v>
      </c>
      <c r="E4043" s="5" t="s">
        <v>93</v>
      </c>
      <c r="F4043" s="9">
        <v>43</v>
      </c>
      <c r="G4043" s="9">
        <v>441</v>
      </c>
      <c r="H4043" s="5" t="s">
        <v>21</v>
      </c>
      <c r="I4043" s="5" t="s">
        <v>10136</v>
      </c>
      <c r="J4043" s="12" t="str">
        <f>HYPERLINK("https://www.boe.es/gazeta/dias/1803/05/31/pdfs/GMD-1803-43.pdf#page=1","Abrir facsímil")</f>
        <v>Abrir facsímil</v>
      </c>
      <c r="K4043" s="15" t="s">
        <v>23</v>
      </c>
    </row>
    <row r="4044" spans="1:11" ht="42" customHeight="1">
      <c r="A4044" s="4" t="s">
        <v>10134</v>
      </c>
      <c r="B4044" s="5" t="s">
        <v>10135</v>
      </c>
      <c r="C4044" s="5" t="s">
        <v>26</v>
      </c>
      <c r="D4044" s="5" t="s">
        <v>27</v>
      </c>
      <c r="E4044" s="5" t="s">
        <v>93</v>
      </c>
      <c r="F4044" s="9">
        <v>43</v>
      </c>
      <c r="G4044" s="9">
        <v>442</v>
      </c>
      <c r="H4044" s="5" t="s">
        <v>21</v>
      </c>
      <c r="I4044" s="5" t="s">
        <v>10137</v>
      </c>
      <c r="J4044" s="12" t="str">
        <f>HYPERLINK("https://www.boe.es/gazeta/dias/1803/05/31/pdfs/GMD-1803-43.pdf#page=2","Abrir facsímil")</f>
        <v>Abrir facsímil</v>
      </c>
      <c r="K4044" s="15" t="s">
        <v>23</v>
      </c>
    </row>
    <row r="4045" spans="1:11" ht="42" customHeight="1">
      <c r="A4045" s="4" t="s">
        <v>10138</v>
      </c>
      <c r="B4045" s="5" t="s">
        <v>10139</v>
      </c>
      <c r="C4045" s="5" t="s">
        <v>26</v>
      </c>
      <c r="D4045" s="5" t="s">
        <v>27</v>
      </c>
      <c r="E4045" s="5" t="s">
        <v>795</v>
      </c>
      <c r="F4045" s="9">
        <v>98</v>
      </c>
      <c r="G4045" s="9">
        <v>1050</v>
      </c>
      <c r="H4045" s="5" t="s">
        <v>21</v>
      </c>
      <c r="I4045" s="5" t="s">
        <v>10140</v>
      </c>
      <c r="J4045" s="12" t="str">
        <f>HYPERLINK("https://www.boe.es/gazeta/dias/1803/12/06/pdfs/GMD-1803-98.pdf#page=6","Abrir facsímil")</f>
        <v>Abrir facsímil</v>
      </c>
      <c r="K4045" s="15" t="s">
        <v>23</v>
      </c>
    </row>
    <row r="4046" spans="1:11" ht="42" customHeight="1">
      <c r="A4046" s="4" t="s">
        <v>10141</v>
      </c>
      <c r="B4046" s="5" t="s">
        <v>10142</v>
      </c>
      <c r="C4046" s="5" t="s">
        <v>80</v>
      </c>
      <c r="D4046" s="5" t="s">
        <v>81</v>
      </c>
      <c r="E4046" s="5" t="s">
        <v>64</v>
      </c>
      <c r="F4046" s="9">
        <v>65</v>
      </c>
      <c r="G4046" s="9">
        <v>712</v>
      </c>
      <c r="H4046" s="5" t="s">
        <v>21</v>
      </c>
      <c r="I4046" s="5" t="s">
        <v>10143</v>
      </c>
      <c r="J4046" s="12" t="str">
        <f>HYPERLINK("https://www.boe.es/gazeta/dias/1803/08/16/pdfs/GMD-1803-65.pdf#page=12","Abrir facsímil")</f>
        <v>Abrir facsímil</v>
      </c>
      <c r="K4046" s="15" t="s">
        <v>23</v>
      </c>
    </row>
    <row r="4047" spans="1:11" ht="42" customHeight="1">
      <c r="A4047" s="4" t="s">
        <v>10144</v>
      </c>
      <c r="B4047" s="5" t="s">
        <v>10145</v>
      </c>
      <c r="C4047" s="5" t="s">
        <v>26</v>
      </c>
      <c r="D4047" s="5" t="s">
        <v>27</v>
      </c>
      <c r="E4047" s="5" t="s">
        <v>178</v>
      </c>
      <c r="F4047" s="9">
        <v>36</v>
      </c>
      <c r="G4047" s="9">
        <v>376</v>
      </c>
      <c r="H4047" s="5" t="s">
        <v>21</v>
      </c>
      <c r="I4047" s="5" t="s">
        <v>10146</v>
      </c>
      <c r="J4047" s="12" t="str">
        <f>HYPERLINK("https://www.boe.es/gazeta/dias/1803/05/06/pdfs/GMD-1803-36.pdf#page=8","Abrir facsímil")</f>
        <v>Abrir facsímil</v>
      </c>
      <c r="K4047" s="15" t="s">
        <v>23</v>
      </c>
    </row>
    <row r="4048" spans="1:11" ht="42" customHeight="1">
      <c r="A4048" s="4" t="s">
        <v>10147</v>
      </c>
      <c r="B4048" s="5" t="s">
        <v>10148</v>
      </c>
      <c r="C4048" s="5" t="s">
        <v>18</v>
      </c>
      <c r="D4048" s="5" t="s">
        <v>19</v>
      </c>
      <c r="E4048" s="5" t="s">
        <v>211</v>
      </c>
      <c r="F4048" s="9">
        <v>71</v>
      </c>
      <c r="G4048" s="9">
        <v>778</v>
      </c>
      <c r="H4048" s="5" t="s">
        <v>21</v>
      </c>
      <c r="I4048" s="5" t="s">
        <v>10149</v>
      </c>
      <c r="J4048" s="12" t="str">
        <f>HYPERLINK("https://www.boe.es/gazeta/dias/1803/09/06/pdfs/GMD-1803-71.pdf#page=10","Abrir facsímil")</f>
        <v>Abrir facsímil</v>
      </c>
      <c r="K4048" s="15" t="s">
        <v>23</v>
      </c>
    </row>
    <row r="4049" spans="1:11" ht="42" customHeight="1">
      <c r="A4049" s="4" t="s">
        <v>10150</v>
      </c>
      <c r="B4049" s="5" t="s">
        <v>10151</v>
      </c>
      <c r="C4049" s="5" t="s">
        <v>26</v>
      </c>
      <c r="D4049" s="5" t="s">
        <v>27</v>
      </c>
      <c r="E4049" s="5" t="s">
        <v>28</v>
      </c>
      <c r="F4049" s="9">
        <v>92</v>
      </c>
      <c r="G4049" s="9">
        <v>986</v>
      </c>
      <c r="H4049" s="5" t="s">
        <v>21</v>
      </c>
      <c r="I4049" s="5" t="s">
        <v>10152</v>
      </c>
      <c r="J4049" s="12" t="str">
        <f>HYPERLINK("https://www.boe.es/gazeta/dias/1803/11/15/pdfs/GMD-1803-92.pdf#page=6","Abrir facsímil")</f>
        <v>Abrir facsímil</v>
      </c>
      <c r="K4049" s="15" t="s">
        <v>23</v>
      </c>
    </row>
    <row r="4050" spans="1:11" ht="42" customHeight="1">
      <c r="A4050" s="4" t="s">
        <v>10153</v>
      </c>
      <c r="B4050" s="5" t="s">
        <v>10154</v>
      </c>
      <c r="C4050" s="5" t="s">
        <v>18</v>
      </c>
      <c r="D4050" s="5" t="s">
        <v>19</v>
      </c>
      <c r="E4050" s="5" t="s">
        <v>109</v>
      </c>
      <c r="F4050" s="9">
        <v>102</v>
      </c>
      <c r="G4050" s="9">
        <v>1097</v>
      </c>
      <c r="H4050" s="5" t="s">
        <v>21</v>
      </c>
      <c r="I4050" s="5" t="s">
        <v>10155</v>
      </c>
      <c r="J4050" s="12" t="str">
        <f>HYPERLINK("https://www.boe.es/gazeta/dias/1803/12/20/pdfs/GMD-1803-102.pdf#page=9","Abrir facsímil")</f>
        <v>Abrir facsímil</v>
      </c>
      <c r="K4050" s="15" t="s">
        <v>23</v>
      </c>
    </row>
    <row r="4051" spans="1:11" ht="42" customHeight="1">
      <c r="A4051" s="4" t="s">
        <v>10156</v>
      </c>
      <c r="B4051" s="5" t="s">
        <v>10157</v>
      </c>
      <c r="C4051" s="5" t="s">
        <v>51</v>
      </c>
      <c r="D4051" s="5" t="s">
        <v>52</v>
      </c>
      <c r="E4051" s="5" t="s">
        <v>156</v>
      </c>
      <c r="F4051" s="9">
        <v>2</v>
      </c>
      <c r="G4051" s="9">
        <v>13</v>
      </c>
      <c r="H4051" s="5" t="s">
        <v>21</v>
      </c>
      <c r="I4051" s="5" t="s">
        <v>10158</v>
      </c>
      <c r="J4051" s="12" t="str">
        <f>HYPERLINK("https://www.boe.es/gazeta/dias/1803/01/07/pdfs/GMD-1803-2.pdf#page=5","Abrir facsímil")</f>
        <v>Abrir facsímil</v>
      </c>
      <c r="K4051" s="15" t="s">
        <v>23</v>
      </c>
    </row>
    <row r="4052" spans="1:11" ht="42" customHeight="1">
      <c r="A4052" s="4" t="s">
        <v>10156</v>
      </c>
      <c r="B4052" s="5" t="s">
        <v>10157</v>
      </c>
      <c r="C4052" s="5" t="s">
        <v>40</v>
      </c>
      <c r="D4052" s="5" t="s">
        <v>41</v>
      </c>
      <c r="E4052" s="5" t="s">
        <v>1279</v>
      </c>
      <c r="F4052" s="9">
        <v>3</v>
      </c>
      <c r="G4052" s="9">
        <v>26</v>
      </c>
      <c r="H4052" s="5" t="s">
        <v>21</v>
      </c>
      <c r="I4052" s="5" t="s">
        <v>10159</v>
      </c>
      <c r="J4052" s="12" t="str">
        <f>HYPERLINK("https://www.boe.es/gazeta/dias/1803/01/11/pdfs/GMD-1803-3.pdf#page=6","Abrir facsímil")</f>
        <v>Abrir facsímil</v>
      </c>
      <c r="K4052" s="15" t="s">
        <v>23</v>
      </c>
    </row>
    <row r="4053" spans="1:11" ht="42" customHeight="1">
      <c r="A4053" s="4" t="s">
        <v>10156</v>
      </c>
      <c r="B4053" s="5" t="s">
        <v>10157</v>
      </c>
      <c r="C4053" s="5" t="s">
        <v>51</v>
      </c>
      <c r="D4053" s="5" t="s">
        <v>52</v>
      </c>
      <c r="E4053" s="5" t="s">
        <v>258</v>
      </c>
      <c r="F4053" s="9">
        <v>7</v>
      </c>
      <c r="G4053" s="9">
        <v>65</v>
      </c>
      <c r="H4053" s="5" t="s">
        <v>21</v>
      </c>
      <c r="I4053" s="5" t="s">
        <v>10160</v>
      </c>
      <c r="J4053" s="12" t="str">
        <f>HYPERLINK("https://www.boe.es/gazeta/dias/1803/01/25/pdfs/GMD-1803-7.pdf#page=5","Abrir facsímil")</f>
        <v>Abrir facsímil</v>
      </c>
      <c r="K4053" s="15" t="s">
        <v>23</v>
      </c>
    </row>
    <row r="4054" spans="1:11" ht="42" customHeight="1">
      <c r="A4054" s="4" t="s">
        <v>10156</v>
      </c>
      <c r="B4054" s="5" t="s">
        <v>10157</v>
      </c>
      <c r="C4054" s="5" t="s">
        <v>40</v>
      </c>
      <c r="D4054" s="5" t="s">
        <v>41</v>
      </c>
      <c r="E4054" s="5" t="s">
        <v>102</v>
      </c>
      <c r="F4054" s="9">
        <v>31</v>
      </c>
      <c r="G4054" s="9">
        <v>323</v>
      </c>
      <c r="H4054" s="5" t="s">
        <v>21</v>
      </c>
      <c r="I4054" s="5" t="s">
        <v>10161</v>
      </c>
      <c r="J4054" s="12" t="str">
        <f>HYPERLINK("https://www.boe.es/gazeta/dias/1803/04/19/pdfs/GMD-1803-31.pdf#page=3","Abrir facsímil")</f>
        <v>Abrir facsímil</v>
      </c>
      <c r="K4054" s="15" t="s">
        <v>23</v>
      </c>
    </row>
    <row r="4055" spans="1:11" ht="42" customHeight="1">
      <c r="A4055" s="4" t="s">
        <v>10156</v>
      </c>
      <c r="B4055" s="5" t="s">
        <v>10157</v>
      </c>
      <c r="C4055" s="5" t="s">
        <v>40</v>
      </c>
      <c r="D4055" s="5" t="s">
        <v>41</v>
      </c>
      <c r="E4055" s="5" t="s">
        <v>128</v>
      </c>
      <c r="F4055" s="9">
        <v>80</v>
      </c>
      <c r="G4055" s="9">
        <v>861</v>
      </c>
      <c r="H4055" s="5" t="s">
        <v>21</v>
      </c>
      <c r="I4055" s="5" t="s">
        <v>10162</v>
      </c>
      <c r="J4055" s="12" t="str">
        <f>HYPERLINK("https://www.boe.es/gazeta/dias/1803/10/04/pdfs/GMD-1803-80.pdf#page=5","Abrir facsímil")</f>
        <v>Abrir facsímil</v>
      </c>
      <c r="K4055" s="15" t="s">
        <v>23</v>
      </c>
    </row>
    <row r="4056" spans="1:11" ht="42" customHeight="1">
      <c r="A4056" s="4" t="s">
        <v>10163</v>
      </c>
      <c r="B4056" s="5" t="s">
        <v>10164</v>
      </c>
      <c r="C4056" s="5" t="s">
        <v>18</v>
      </c>
      <c r="D4056" s="5" t="s">
        <v>19</v>
      </c>
      <c r="E4056" s="5" t="s">
        <v>272</v>
      </c>
      <c r="F4056" s="9">
        <v>25</v>
      </c>
      <c r="G4056" s="9">
        <v>266</v>
      </c>
      <c r="H4056" s="5" t="s">
        <v>21</v>
      </c>
      <c r="I4056" s="5" t="s">
        <v>10165</v>
      </c>
      <c r="J4056" s="12" t="str">
        <f>HYPERLINK("https://www.boe.es/gazeta/dias/1803/03/29/pdfs/GMD-1803-25.pdf#page=6","Abrir facsímil")</f>
        <v>Abrir facsímil</v>
      </c>
      <c r="K4056" s="15" t="s">
        <v>23</v>
      </c>
    </row>
    <row r="4057" spans="1:11" ht="42" customHeight="1">
      <c r="A4057" s="4" t="s">
        <v>10166</v>
      </c>
      <c r="B4057" s="5" t="s">
        <v>10167</v>
      </c>
      <c r="C4057" s="5" t="s">
        <v>26</v>
      </c>
      <c r="D4057" s="5" t="s">
        <v>27</v>
      </c>
      <c r="E4057" s="5" t="s">
        <v>496</v>
      </c>
      <c r="F4057" s="9">
        <v>90</v>
      </c>
      <c r="G4057" s="9">
        <v>966</v>
      </c>
      <c r="H4057" s="5" t="s">
        <v>21</v>
      </c>
      <c r="I4057" s="5" t="s">
        <v>10168</v>
      </c>
      <c r="J4057" s="12" t="str">
        <f>HYPERLINK("https://www.boe.es/gazeta/dias/1803/11/08/pdfs/GMD-1803-90.pdf#page=6","Abrir facsímil")</f>
        <v>Abrir facsímil</v>
      </c>
      <c r="K4057" s="15" t="s">
        <v>23</v>
      </c>
    </row>
    <row r="4058" spans="1:11" ht="42" customHeight="1">
      <c r="A4058" s="4" t="s">
        <v>10169</v>
      </c>
      <c r="B4058" s="5" t="s">
        <v>10170</v>
      </c>
      <c r="C4058" s="5" t="s">
        <v>26</v>
      </c>
      <c r="D4058" s="5" t="s">
        <v>27</v>
      </c>
      <c r="E4058" s="5" t="s">
        <v>156</v>
      </c>
      <c r="F4058" s="9">
        <v>2</v>
      </c>
      <c r="G4058" s="9">
        <v>18</v>
      </c>
      <c r="H4058" s="5" t="s">
        <v>21</v>
      </c>
      <c r="I4058" s="5" t="s">
        <v>10171</v>
      </c>
      <c r="J4058" s="12" t="str">
        <f>HYPERLINK("https://www.boe.es/gazeta/dias/1803/01/07/pdfs/GMD-1803-2.pdf#page=10","Abrir facsímil")</f>
        <v>Abrir facsímil</v>
      </c>
      <c r="K4058" s="15" t="s">
        <v>23</v>
      </c>
    </row>
    <row r="4059" spans="1:11" ht="42" customHeight="1">
      <c r="A4059" s="4" t="s">
        <v>10172</v>
      </c>
      <c r="B4059" s="5" t="s">
        <v>10173</v>
      </c>
      <c r="C4059" s="5" t="s">
        <v>18</v>
      </c>
      <c r="D4059" s="5" t="s">
        <v>19</v>
      </c>
      <c r="E4059" s="5" t="s">
        <v>138</v>
      </c>
      <c r="F4059" s="9">
        <v>68</v>
      </c>
      <c r="G4059" s="9">
        <v>741</v>
      </c>
      <c r="H4059" s="5" t="s">
        <v>21</v>
      </c>
      <c r="I4059" s="5" t="s">
        <v>10174</v>
      </c>
      <c r="J4059" s="12" t="str">
        <f>HYPERLINK("https://www.boe.es/gazeta/dias/1803/08/26/pdfs/GMD-1803-68.pdf#page=9","Abrir facsímil")</f>
        <v>Abrir facsímil</v>
      </c>
      <c r="K4059" s="15" t="s">
        <v>23</v>
      </c>
    </row>
    <row r="4060" spans="1:11" ht="42" customHeight="1">
      <c r="A4060" s="4" t="s">
        <v>10175</v>
      </c>
      <c r="B4060" s="5" t="s">
        <v>10176</v>
      </c>
      <c r="C4060" s="5" t="s">
        <v>225</v>
      </c>
      <c r="D4060" s="5" t="s">
        <v>226</v>
      </c>
      <c r="E4060" s="5" t="s">
        <v>303</v>
      </c>
      <c r="F4060" s="9">
        <v>8</v>
      </c>
      <c r="G4060" s="9">
        <v>82</v>
      </c>
      <c r="H4060" s="5" t="s">
        <v>21</v>
      </c>
      <c r="I4060" s="5" t="s">
        <v>10177</v>
      </c>
      <c r="J4060" s="12" t="str">
        <f>HYPERLINK("https://www.boe.es/gazeta/dias/1803/01/28/pdfs/GMD-C-1803-8.pdf#page=2","Abrir facsímil")</f>
        <v>Abrir facsímil</v>
      </c>
      <c r="K4060" s="15" t="s">
        <v>23</v>
      </c>
    </row>
    <row r="4061" spans="1:11" ht="42" customHeight="1">
      <c r="A4061" s="4" t="s">
        <v>10178</v>
      </c>
      <c r="B4061" s="5" t="s">
        <v>10178</v>
      </c>
      <c r="C4061" s="5" t="s">
        <v>80</v>
      </c>
      <c r="D4061" s="5" t="s">
        <v>81</v>
      </c>
      <c r="E4061" s="5" t="s">
        <v>207</v>
      </c>
      <c r="F4061" s="9">
        <v>27</v>
      </c>
      <c r="G4061" s="9">
        <v>296</v>
      </c>
      <c r="H4061" s="5" t="s">
        <v>21</v>
      </c>
      <c r="I4061" s="5" t="s">
        <v>10179</v>
      </c>
      <c r="J4061" s="12" t="str">
        <f>HYPERLINK("https://www.boe.es/gazeta/dias/1803/04/05/pdfs/GMD-1803-27.pdf#page=12","Abrir facsímil")</f>
        <v>Abrir facsímil</v>
      </c>
      <c r="K4061" s="15" t="s">
        <v>23</v>
      </c>
    </row>
    <row r="4062" spans="1:11" ht="42" customHeight="1">
      <c r="A4062" s="4" t="s">
        <v>10180</v>
      </c>
      <c r="B4062" s="5" t="s">
        <v>10180</v>
      </c>
      <c r="C4062" s="5" t="s">
        <v>26</v>
      </c>
      <c r="D4062" s="5" t="s">
        <v>27</v>
      </c>
      <c r="E4062" s="5" t="s">
        <v>340</v>
      </c>
      <c r="F4062" s="9">
        <v>55</v>
      </c>
      <c r="G4062" s="9">
        <v>602</v>
      </c>
      <c r="H4062" s="5" t="s">
        <v>21</v>
      </c>
      <c r="I4062" s="5" t="s">
        <v>10181</v>
      </c>
      <c r="J4062" s="12" t="str">
        <f>HYPERLINK("https://www.boe.es/gazeta/dias/1803/07/12/pdfs/GMD-1803-55.pdf#page=10","Abrir facsímil")</f>
        <v>Abrir facsímil</v>
      </c>
      <c r="K4062" s="15" t="s">
        <v>23</v>
      </c>
    </row>
    <row r="4063" spans="1:11" ht="42" customHeight="1">
      <c r="A4063" s="4" t="s">
        <v>10182</v>
      </c>
      <c r="B4063" s="5" t="s">
        <v>10182</v>
      </c>
      <c r="C4063" s="5" t="s">
        <v>26</v>
      </c>
      <c r="D4063" s="5" t="s">
        <v>27</v>
      </c>
      <c r="E4063" s="5" t="s">
        <v>328</v>
      </c>
      <c r="F4063" s="9">
        <v>54</v>
      </c>
      <c r="G4063" s="9">
        <v>590</v>
      </c>
      <c r="H4063" s="5" t="s">
        <v>21</v>
      </c>
      <c r="I4063" s="5" t="s">
        <v>10183</v>
      </c>
      <c r="J4063" s="12" t="str">
        <f>HYPERLINK("https://www.boe.es/gazeta/dias/1803/07/08/pdfs/GMD-1803-54.pdf#page=10","Abrir facsímil")</f>
        <v>Abrir facsímil</v>
      </c>
      <c r="K4063" s="15" t="s">
        <v>23</v>
      </c>
    </row>
    <row r="4064" spans="1:11" ht="42" customHeight="1">
      <c r="A4064" s="4" t="s">
        <v>10184</v>
      </c>
      <c r="B4064" s="5" t="s">
        <v>10184</v>
      </c>
      <c r="C4064" s="5" t="s">
        <v>51</v>
      </c>
      <c r="D4064" s="5" t="s">
        <v>52</v>
      </c>
      <c r="E4064" s="5" t="s">
        <v>258</v>
      </c>
      <c r="F4064" s="9">
        <v>7</v>
      </c>
      <c r="G4064" s="9">
        <v>63</v>
      </c>
      <c r="H4064" s="5" t="s">
        <v>21</v>
      </c>
      <c r="I4064" s="5" t="s">
        <v>10185</v>
      </c>
      <c r="J4064" s="12" t="str">
        <f>HYPERLINK("https://www.boe.es/gazeta/dias/1803/01/25/pdfs/GMD-1803-7.pdf#page=3","Abrir facsímil")</f>
        <v>Abrir facsímil</v>
      </c>
      <c r="K4064" s="15" t="s">
        <v>23</v>
      </c>
    </row>
    <row r="4065" spans="1:11" ht="42" customHeight="1">
      <c r="A4065" s="4" t="s">
        <v>10184</v>
      </c>
      <c r="B4065" s="5" t="s">
        <v>10184</v>
      </c>
      <c r="C4065" s="5" t="s">
        <v>40</v>
      </c>
      <c r="D4065" s="5" t="s">
        <v>41</v>
      </c>
      <c r="E4065" s="5" t="s">
        <v>207</v>
      </c>
      <c r="F4065" s="9">
        <v>27</v>
      </c>
      <c r="G4065" s="9">
        <v>287</v>
      </c>
      <c r="H4065" s="5" t="s">
        <v>21</v>
      </c>
      <c r="I4065" s="5" t="s">
        <v>10186</v>
      </c>
      <c r="J4065" s="12" t="str">
        <f>HYPERLINK("https://www.boe.es/gazeta/dias/1803/04/05/pdfs/GMD-1803-27.pdf#page=3","Abrir facsímil")</f>
        <v>Abrir facsímil</v>
      </c>
      <c r="K4065" s="15" t="s">
        <v>23</v>
      </c>
    </row>
    <row r="4066" spans="1:11" ht="42" customHeight="1">
      <c r="A4066" s="4" t="s">
        <v>10184</v>
      </c>
      <c r="B4066" s="5" t="s">
        <v>10184</v>
      </c>
      <c r="C4066" s="5" t="s">
        <v>40</v>
      </c>
      <c r="D4066" s="5" t="s">
        <v>41</v>
      </c>
      <c r="E4066" s="5" t="s">
        <v>439</v>
      </c>
      <c r="F4066" s="9">
        <v>76</v>
      </c>
      <c r="G4066" s="9">
        <v>818</v>
      </c>
      <c r="H4066" s="5" t="s">
        <v>21</v>
      </c>
      <c r="I4066" s="5" t="s">
        <v>10187</v>
      </c>
      <c r="J4066" s="12" t="str">
        <f>HYPERLINK("https://www.boe.es/gazeta/dias/1803/09/20/pdfs/GMD-1803-76.pdf#page=6","Abrir facsímil")</f>
        <v>Abrir facsímil</v>
      </c>
      <c r="K4066" s="15" t="s">
        <v>23</v>
      </c>
    </row>
    <row r="4067" spans="1:11" ht="42" customHeight="1">
      <c r="A4067" s="4" t="s">
        <v>10188</v>
      </c>
      <c r="B4067" s="5" t="s">
        <v>10188</v>
      </c>
      <c r="C4067" s="5" t="s">
        <v>40</v>
      </c>
      <c r="D4067" s="5" t="s">
        <v>41</v>
      </c>
      <c r="E4067" s="5" t="s">
        <v>1279</v>
      </c>
      <c r="F4067" s="9">
        <v>3</v>
      </c>
      <c r="G4067" s="9">
        <v>24</v>
      </c>
      <c r="H4067" s="5" t="s">
        <v>21</v>
      </c>
      <c r="I4067" s="5" t="s">
        <v>10189</v>
      </c>
      <c r="J4067" s="12" t="str">
        <f>HYPERLINK("https://www.boe.es/gazeta/dias/1803/01/11/pdfs/GMD-1803-3.pdf#page=4","Abrir facsímil")</f>
        <v>Abrir facsímil</v>
      </c>
      <c r="K4067" s="15" t="s">
        <v>23</v>
      </c>
    </row>
    <row r="4068" spans="1:11" ht="42" customHeight="1">
      <c r="A4068" s="4" t="s">
        <v>10188</v>
      </c>
      <c r="B4068" s="5" t="s">
        <v>10188</v>
      </c>
      <c r="C4068" s="5" t="s">
        <v>26</v>
      </c>
      <c r="D4068" s="5" t="s">
        <v>27</v>
      </c>
      <c r="E4068" s="5" t="s">
        <v>417</v>
      </c>
      <c r="F4068" s="9">
        <v>72</v>
      </c>
      <c r="G4068" s="9">
        <v>783</v>
      </c>
      <c r="H4068" s="5" t="s">
        <v>21</v>
      </c>
      <c r="I4068" s="5" t="s">
        <v>10190</v>
      </c>
      <c r="J4068" s="12" t="str">
        <f>HYPERLINK("https://www.boe.es/gazeta/dias/1803/09/09/pdfs/GMD-1803-72.pdf#page=3","Abrir facsímil")</f>
        <v>Abrir facsímil</v>
      </c>
      <c r="K4068" s="15" t="s">
        <v>23</v>
      </c>
    </row>
    <row r="4069" spans="1:11" ht="42" customHeight="1">
      <c r="A4069" s="4" t="s">
        <v>10188</v>
      </c>
      <c r="B4069" s="5" t="s">
        <v>10188</v>
      </c>
      <c r="C4069" s="5" t="s">
        <v>40</v>
      </c>
      <c r="D4069" s="5" t="s">
        <v>41</v>
      </c>
      <c r="E4069" s="5" t="s">
        <v>417</v>
      </c>
      <c r="F4069" s="9">
        <v>72</v>
      </c>
      <c r="G4069" s="9">
        <v>784</v>
      </c>
      <c r="H4069" s="5" t="s">
        <v>21</v>
      </c>
      <c r="I4069" s="5" t="s">
        <v>10191</v>
      </c>
      <c r="J4069" s="12" t="str">
        <f>HYPERLINK("https://www.boe.es/gazeta/dias/1803/09/09/pdfs/GMD-1803-72.pdf#page=4","Abrir facsímil")</f>
        <v>Abrir facsímil</v>
      </c>
      <c r="K4069" s="15" t="s">
        <v>23</v>
      </c>
    </row>
    <row r="4070" spans="1:11" ht="42" customHeight="1">
      <c r="A4070" s="4" t="s">
        <v>10188</v>
      </c>
      <c r="B4070" s="5" t="s">
        <v>10188</v>
      </c>
      <c r="C4070" s="5" t="s">
        <v>40</v>
      </c>
      <c r="D4070" s="5" t="s">
        <v>41</v>
      </c>
      <c r="E4070" s="5" t="s">
        <v>263</v>
      </c>
      <c r="F4070" s="9">
        <v>75</v>
      </c>
      <c r="G4070" s="9">
        <v>806</v>
      </c>
      <c r="H4070" s="5" t="s">
        <v>21</v>
      </c>
      <c r="I4070" s="5" t="s">
        <v>10192</v>
      </c>
      <c r="J4070" s="12" t="str">
        <f>HYPERLINK("https://www.boe.es/gazeta/dias/1803/09/16/pdfs/GMD-1803-75.pdf#page=2","Abrir facsímil")</f>
        <v>Abrir facsímil</v>
      </c>
      <c r="K4070" s="15" t="s">
        <v>23</v>
      </c>
    </row>
    <row r="4071" spans="1:11" ht="42" customHeight="1">
      <c r="A4071" s="4" t="s">
        <v>10188</v>
      </c>
      <c r="B4071" s="5" t="s">
        <v>10188</v>
      </c>
      <c r="C4071" s="5" t="s">
        <v>40</v>
      </c>
      <c r="D4071" s="5" t="s">
        <v>41</v>
      </c>
      <c r="E4071" s="5" t="s">
        <v>263</v>
      </c>
      <c r="F4071" s="9">
        <v>75</v>
      </c>
      <c r="G4071" s="9">
        <v>807</v>
      </c>
      <c r="H4071" s="5" t="s">
        <v>21</v>
      </c>
      <c r="I4071" s="5" t="s">
        <v>10193</v>
      </c>
      <c r="J4071" s="12" t="str">
        <f>HYPERLINK("https://www.boe.es/gazeta/dias/1803/09/16/pdfs/GMD-1803-75.pdf#page=3","Abrir facsímil")</f>
        <v>Abrir facsímil</v>
      </c>
      <c r="K4071" s="15" t="s">
        <v>23</v>
      </c>
    </row>
    <row r="4072" spans="1:11" ht="42" customHeight="1">
      <c r="A4072" s="4" t="s">
        <v>10194</v>
      </c>
      <c r="B4072" s="5" t="s">
        <v>10194</v>
      </c>
      <c r="C4072" s="5" t="s">
        <v>26</v>
      </c>
      <c r="D4072" s="5" t="s">
        <v>27</v>
      </c>
      <c r="E4072" s="5" t="s">
        <v>32</v>
      </c>
      <c r="F4072" s="9">
        <v>74</v>
      </c>
      <c r="G4072" s="9">
        <v>799</v>
      </c>
      <c r="H4072" s="5" t="s">
        <v>21</v>
      </c>
      <c r="I4072" s="5" t="s">
        <v>10195</v>
      </c>
      <c r="J4072" s="12" t="str">
        <f>HYPERLINK("https://www.boe.es/gazeta/dias/1803/09/13/pdfs/GMD-1803-74.pdf#page=3","Abrir facsímil")</f>
        <v>Abrir facsímil</v>
      </c>
      <c r="K4072" s="15" t="s">
        <v>23</v>
      </c>
    </row>
    <row r="4073" spans="1:11" ht="42" customHeight="1">
      <c r="A4073" s="4" t="s">
        <v>10196</v>
      </c>
      <c r="B4073" s="5" t="s">
        <v>10196</v>
      </c>
      <c r="C4073" s="5" t="s">
        <v>51</v>
      </c>
      <c r="D4073" s="5" t="s">
        <v>52</v>
      </c>
      <c r="E4073" s="5" t="s">
        <v>256</v>
      </c>
      <c r="F4073" s="9">
        <v>1</v>
      </c>
      <c r="G4073" s="9">
        <v>5</v>
      </c>
      <c r="H4073" s="5" t="s">
        <v>21</v>
      </c>
      <c r="I4073" s="5" t="s">
        <v>10197</v>
      </c>
      <c r="J4073" s="12" t="str">
        <f>HYPERLINK("https://www.boe.es/gazeta/dias/1803/01/04/pdfs/GMD-1803-1.pdf#page=5","Abrir facsímil")</f>
        <v>Abrir facsímil</v>
      </c>
      <c r="K4073" s="15" t="s">
        <v>23</v>
      </c>
    </row>
    <row r="4074" spans="1:11" ht="42" customHeight="1">
      <c r="A4074" s="4" t="s">
        <v>10198</v>
      </c>
      <c r="B4074" s="5" t="s">
        <v>10198</v>
      </c>
      <c r="C4074" s="5" t="s">
        <v>40</v>
      </c>
      <c r="D4074" s="5" t="s">
        <v>41</v>
      </c>
      <c r="E4074" s="5" t="s">
        <v>519</v>
      </c>
      <c r="F4074" s="9">
        <v>50</v>
      </c>
      <c r="G4074" s="9">
        <v>533</v>
      </c>
      <c r="H4074" s="5" t="s">
        <v>21</v>
      </c>
      <c r="I4074" s="5" t="s">
        <v>10199</v>
      </c>
      <c r="J4074" s="12" t="str">
        <f>HYPERLINK("https://www.boe.es/gazeta/dias/1803/06/24/pdfs/GMD-1803-50.pdf#page=1","Abrir facsímil")</f>
        <v>Abrir facsímil</v>
      </c>
      <c r="K4074" s="15" t="s">
        <v>23</v>
      </c>
    </row>
    <row r="4075" spans="1:11" ht="42" customHeight="1">
      <c r="A4075" s="4" t="s">
        <v>10200</v>
      </c>
      <c r="B4075" s="5" t="s">
        <v>10201</v>
      </c>
      <c r="C4075" s="5" t="s">
        <v>18</v>
      </c>
      <c r="D4075" s="5" t="s">
        <v>19</v>
      </c>
      <c r="E4075" s="5" t="s">
        <v>967</v>
      </c>
      <c r="F4075" s="9">
        <v>35</v>
      </c>
      <c r="G4075" s="9">
        <v>367</v>
      </c>
      <c r="H4075" s="5" t="s">
        <v>21</v>
      </c>
      <c r="I4075" s="5" t="s">
        <v>10202</v>
      </c>
      <c r="J4075" s="12" t="str">
        <f>HYPERLINK("https://www.boe.es/gazeta/dias/1803/05/03/pdfs/GMD-1803-35.pdf#page=7","Abrir facsímil")</f>
        <v>Abrir facsímil</v>
      </c>
      <c r="K4075" s="15" t="s">
        <v>23</v>
      </c>
    </row>
    <row r="4076" spans="1:11" ht="42" customHeight="1">
      <c r="A4076" s="4" t="s">
        <v>10203</v>
      </c>
      <c r="B4076" s="5" t="s">
        <v>10204</v>
      </c>
      <c r="C4076" s="5" t="s">
        <v>26</v>
      </c>
      <c r="D4076" s="5" t="s">
        <v>27</v>
      </c>
      <c r="E4076" s="5" t="s">
        <v>148</v>
      </c>
      <c r="F4076" s="9">
        <v>15</v>
      </c>
      <c r="G4076" s="9">
        <v>158</v>
      </c>
      <c r="H4076" s="5" t="s">
        <v>21</v>
      </c>
      <c r="I4076" s="5" t="s">
        <v>10205</v>
      </c>
      <c r="J4076" s="12" t="str">
        <f>HYPERLINK("https://www.boe.es/gazeta/dias/1803/02/22/pdfs/GMD-1803-15.pdf#page=10","Abrir facsímil")</f>
        <v>Abrir facsímil</v>
      </c>
      <c r="K4076" s="15" t="s">
        <v>23</v>
      </c>
    </row>
    <row r="4077" spans="1:11" ht="42" customHeight="1">
      <c r="A4077" s="4" t="s">
        <v>10206</v>
      </c>
      <c r="B4077" s="5" t="s">
        <v>10206</v>
      </c>
      <c r="C4077" s="5" t="s">
        <v>18</v>
      </c>
      <c r="D4077" s="5" t="s">
        <v>19</v>
      </c>
      <c r="E4077" s="5" t="s">
        <v>313</v>
      </c>
      <c r="F4077" s="9">
        <v>14</v>
      </c>
      <c r="G4077" s="9">
        <v>144</v>
      </c>
      <c r="H4077" s="5" t="s">
        <v>21</v>
      </c>
      <c r="I4077" s="5" t="s">
        <v>10207</v>
      </c>
      <c r="J4077" s="12" t="str">
        <f>HYPERLINK("https://www.boe.es/gazeta/dias/1803/02/18/pdfs/GMD-1803-14.pdf#page=8","Abrir facsímil")</f>
        <v>Abrir facsímil</v>
      </c>
      <c r="K4077" s="15" t="s">
        <v>23</v>
      </c>
    </row>
    <row r="4078" spans="1:11" ht="42" customHeight="1">
      <c r="A4078" s="4" t="s">
        <v>10208</v>
      </c>
      <c r="B4078" s="5" t="s">
        <v>10208</v>
      </c>
      <c r="C4078" s="5" t="s">
        <v>51</v>
      </c>
      <c r="D4078" s="5" t="s">
        <v>52</v>
      </c>
      <c r="E4078" s="5" t="s">
        <v>128</v>
      </c>
      <c r="F4078" s="9">
        <v>80</v>
      </c>
      <c r="G4078" s="9">
        <v>864</v>
      </c>
      <c r="H4078" s="5" t="s">
        <v>21</v>
      </c>
      <c r="I4078" s="5" t="s">
        <v>10209</v>
      </c>
      <c r="J4078" s="12" t="str">
        <f>HYPERLINK("https://www.boe.es/gazeta/dias/1803/10/04/pdfs/GMD-1803-80.pdf#page=8","Abrir facsímil")</f>
        <v>Abrir facsímil</v>
      </c>
      <c r="K4078" s="15" t="s">
        <v>23</v>
      </c>
    </row>
    <row r="4079" spans="1:11" ht="42" customHeight="1">
      <c r="A4079" s="4" t="s">
        <v>10210</v>
      </c>
      <c r="B4079" s="5" t="s">
        <v>10211</v>
      </c>
      <c r="C4079" s="5" t="s">
        <v>26</v>
      </c>
      <c r="D4079" s="5" t="s">
        <v>27</v>
      </c>
      <c r="E4079" s="5" t="s">
        <v>340</v>
      </c>
      <c r="F4079" s="9">
        <v>55</v>
      </c>
      <c r="G4079" s="9">
        <v>602</v>
      </c>
      <c r="H4079" s="5" t="s">
        <v>21</v>
      </c>
      <c r="I4079" s="5" t="s">
        <v>10212</v>
      </c>
      <c r="J4079" s="12" t="str">
        <f>HYPERLINK("https://www.boe.es/gazeta/dias/1803/07/12/pdfs/GMD-1803-55.pdf#page=10","Abrir facsímil")</f>
        <v>Abrir facsímil</v>
      </c>
      <c r="K4079" s="15" t="s">
        <v>23</v>
      </c>
    </row>
    <row r="4080" spans="1:11" ht="42" customHeight="1">
      <c r="A4080" s="4" t="s">
        <v>10213</v>
      </c>
      <c r="B4080" s="5" t="s">
        <v>10213</v>
      </c>
      <c r="C4080" s="5" t="s">
        <v>26</v>
      </c>
      <c r="D4080" s="5" t="s">
        <v>27</v>
      </c>
      <c r="E4080" s="5" t="s">
        <v>20</v>
      </c>
      <c r="F4080" s="9">
        <v>97</v>
      </c>
      <c r="G4080" s="9">
        <v>1040</v>
      </c>
      <c r="H4080" s="5" t="s">
        <v>21</v>
      </c>
      <c r="I4080" s="5" t="s">
        <v>10214</v>
      </c>
      <c r="J4080" s="12" t="str">
        <f>HYPERLINK("https://www.boe.es/gazeta/dias/1803/12/02/pdfs/GMD-1803-97.pdf#page=4","Abrir facsímil")</f>
        <v>Abrir facsímil</v>
      </c>
      <c r="K4080" s="15" t="s">
        <v>23</v>
      </c>
    </row>
    <row r="4081" spans="1:11" ht="42" customHeight="1">
      <c r="A4081" s="4" t="s">
        <v>10215</v>
      </c>
      <c r="B4081" s="5" t="s">
        <v>10216</v>
      </c>
      <c r="C4081" s="5" t="s">
        <v>40</v>
      </c>
      <c r="D4081" s="5" t="s">
        <v>41</v>
      </c>
      <c r="E4081" s="5" t="s">
        <v>496</v>
      </c>
      <c r="F4081" s="9">
        <v>90</v>
      </c>
      <c r="G4081" s="9">
        <v>962</v>
      </c>
      <c r="H4081" s="5" t="s">
        <v>21</v>
      </c>
      <c r="I4081" s="5" t="s">
        <v>10217</v>
      </c>
      <c r="J4081" s="12" t="str">
        <f>HYPERLINK("https://www.boe.es/gazeta/dias/1803/11/08/pdfs/GMD-1803-90.pdf#page=2","Abrir facsímil")</f>
        <v>Abrir facsímil</v>
      </c>
      <c r="K4081" s="15" t="s">
        <v>23</v>
      </c>
    </row>
    <row r="4082" spans="1:11" ht="42" customHeight="1">
      <c r="A4082" s="4" t="s">
        <v>10218</v>
      </c>
      <c r="B4082" s="5" t="s">
        <v>10219</v>
      </c>
      <c r="C4082" s="5" t="s">
        <v>26</v>
      </c>
      <c r="D4082" s="5" t="s">
        <v>27</v>
      </c>
      <c r="E4082" s="5" t="s">
        <v>919</v>
      </c>
      <c r="F4082" s="9">
        <v>69</v>
      </c>
      <c r="G4082" s="9">
        <v>749</v>
      </c>
      <c r="H4082" s="5" t="s">
        <v>21</v>
      </c>
      <c r="I4082" s="5" t="s">
        <v>10220</v>
      </c>
      <c r="J4082" s="12" t="str">
        <f>HYPERLINK("https://www.boe.es/gazeta/dias/1803/08/30/pdfs/GMD-1803-69.pdf#page=5","Abrir facsímil")</f>
        <v>Abrir facsímil</v>
      </c>
      <c r="K4082" s="15" t="s">
        <v>23</v>
      </c>
    </row>
    <row r="4083" spans="1:11" ht="42" customHeight="1">
      <c r="A4083" s="4" t="s">
        <v>10218</v>
      </c>
      <c r="B4083" s="5" t="s">
        <v>10219</v>
      </c>
      <c r="C4083" s="5" t="s">
        <v>51</v>
      </c>
      <c r="D4083" s="5" t="s">
        <v>52</v>
      </c>
      <c r="E4083" s="5" t="s">
        <v>919</v>
      </c>
      <c r="F4083" s="9">
        <v>69</v>
      </c>
      <c r="G4083" s="9">
        <v>750</v>
      </c>
      <c r="H4083" s="5" t="s">
        <v>21</v>
      </c>
      <c r="I4083" s="5" t="s">
        <v>10221</v>
      </c>
      <c r="J4083" s="12" t="str">
        <f>HYPERLINK("https://www.boe.es/gazeta/dias/1803/08/30/pdfs/GMD-1803-69.pdf#page=6","Abrir facsímil")</f>
        <v>Abrir facsímil</v>
      </c>
      <c r="K4083" s="15" t="s">
        <v>23</v>
      </c>
    </row>
    <row r="4084" spans="1:11" ht="42" customHeight="1">
      <c r="A4084" s="4" t="s">
        <v>10222</v>
      </c>
      <c r="B4084" s="5" t="s">
        <v>10222</v>
      </c>
      <c r="C4084" s="5" t="s">
        <v>40</v>
      </c>
      <c r="D4084" s="5" t="s">
        <v>41</v>
      </c>
      <c r="E4084" s="5" t="s">
        <v>417</v>
      </c>
      <c r="F4084" s="9">
        <v>72</v>
      </c>
      <c r="G4084" s="9">
        <v>784</v>
      </c>
      <c r="H4084" s="5" t="s">
        <v>21</v>
      </c>
      <c r="I4084" s="5" t="s">
        <v>10223</v>
      </c>
      <c r="J4084" s="12" t="str">
        <f>HYPERLINK("https://www.boe.es/gazeta/dias/1803/09/09/pdfs/GMD-1803-72.pdf#page=4","Abrir facsímil")</f>
        <v>Abrir facsímil</v>
      </c>
      <c r="K4084" s="15" t="s">
        <v>23</v>
      </c>
    </row>
    <row r="4085" spans="1:11" ht="42" customHeight="1">
      <c r="A4085" s="4" t="s">
        <v>10224</v>
      </c>
      <c r="B4085" s="5" t="s">
        <v>10225</v>
      </c>
      <c r="C4085" s="5" t="s">
        <v>80</v>
      </c>
      <c r="D4085" s="5" t="s">
        <v>81</v>
      </c>
      <c r="E4085" s="5" t="s">
        <v>148</v>
      </c>
      <c r="F4085" s="9">
        <v>15</v>
      </c>
      <c r="G4085" s="9">
        <v>156</v>
      </c>
      <c r="H4085" s="5" t="s">
        <v>21</v>
      </c>
      <c r="I4085" s="5" t="s">
        <v>10226</v>
      </c>
      <c r="J4085" s="12" t="str">
        <f>HYPERLINK("https://www.boe.es/gazeta/dias/1803/02/22/pdfs/GMD-1803-15.pdf#page=8","Abrir facsímil")</f>
        <v>Abrir facsímil</v>
      </c>
      <c r="K4085" s="15" t="s">
        <v>23</v>
      </c>
    </row>
    <row r="4086" spans="1:11" ht="42" customHeight="1">
      <c r="A4086" s="4" t="s">
        <v>10224</v>
      </c>
      <c r="B4086" s="5" t="s">
        <v>10225</v>
      </c>
      <c r="C4086" s="5" t="s">
        <v>80</v>
      </c>
      <c r="D4086" s="5" t="s">
        <v>81</v>
      </c>
      <c r="E4086" s="5" t="s">
        <v>328</v>
      </c>
      <c r="F4086" s="9">
        <v>54</v>
      </c>
      <c r="G4086" s="9">
        <v>592</v>
      </c>
      <c r="H4086" s="5" t="s">
        <v>21</v>
      </c>
      <c r="I4086" s="5" t="s">
        <v>10227</v>
      </c>
      <c r="J4086" s="12" t="str">
        <f>HYPERLINK("https://www.boe.es/gazeta/dias/1803/07/08/pdfs/GMD-1803-54.pdf#page=12","Abrir facsímil")</f>
        <v>Abrir facsímil</v>
      </c>
      <c r="K4086" s="15" t="s">
        <v>23</v>
      </c>
    </row>
    <row r="4087" spans="1:11" ht="42" customHeight="1">
      <c r="A4087" s="4" t="s">
        <v>10228</v>
      </c>
      <c r="B4087" s="5" t="s">
        <v>10229</v>
      </c>
      <c r="C4087" s="5" t="s">
        <v>18</v>
      </c>
      <c r="D4087" s="5" t="s">
        <v>19</v>
      </c>
      <c r="E4087" s="5" t="s">
        <v>795</v>
      </c>
      <c r="F4087" s="9">
        <v>98</v>
      </c>
      <c r="G4087" s="9">
        <v>1050</v>
      </c>
      <c r="H4087" s="5" t="s">
        <v>21</v>
      </c>
      <c r="I4087" s="5" t="s">
        <v>10230</v>
      </c>
      <c r="J4087" s="12" t="str">
        <f>HYPERLINK("https://www.boe.es/gazeta/dias/1803/12/06/pdfs/GMD-1803-98.pdf#page=6","Abrir facsímil")</f>
        <v>Abrir facsímil</v>
      </c>
      <c r="K4087" s="15" t="s">
        <v>23</v>
      </c>
    </row>
    <row r="4088" spans="1:11" ht="42" customHeight="1">
      <c r="A4088" s="4" t="s">
        <v>10231</v>
      </c>
      <c r="B4088" s="5" t="s">
        <v>10232</v>
      </c>
      <c r="C4088" s="5" t="s">
        <v>40</v>
      </c>
      <c r="D4088" s="5" t="s">
        <v>41</v>
      </c>
      <c r="E4088" s="5" t="s">
        <v>496</v>
      </c>
      <c r="F4088" s="9">
        <v>90</v>
      </c>
      <c r="G4088" s="9">
        <v>962</v>
      </c>
      <c r="H4088" s="5" t="s">
        <v>21</v>
      </c>
      <c r="I4088" s="5" t="s">
        <v>10233</v>
      </c>
      <c r="J4088" s="12" t="str">
        <f>HYPERLINK("https://www.boe.es/gazeta/dias/1803/11/08/pdfs/GMD-1803-90.pdf#page=2","Abrir facsímil")</f>
        <v>Abrir facsímil</v>
      </c>
      <c r="K4088" s="15" t="s">
        <v>23</v>
      </c>
    </row>
    <row r="4089" spans="1:11" ht="42" customHeight="1">
      <c r="A4089" s="4" t="s">
        <v>10234</v>
      </c>
      <c r="B4089" s="5" t="s">
        <v>10235</v>
      </c>
      <c r="C4089" s="5" t="s">
        <v>26</v>
      </c>
      <c r="D4089" s="5" t="s">
        <v>27</v>
      </c>
      <c r="E4089" s="5" t="s">
        <v>203</v>
      </c>
      <c r="F4089" s="9">
        <v>32</v>
      </c>
      <c r="G4089" s="9">
        <v>336</v>
      </c>
      <c r="H4089" s="5" t="s">
        <v>21</v>
      </c>
      <c r="I4089" s="5" t="s">
        <v>10236</v>
      </c>
      <c r="J4089" s="12" t="str">
        <f>HYPERLINK("https://www.boe.es/gazeta/dias/1803/04/22/pdfs/GMD-1803-32.pdf#page=8","Abrir facsímil")</f>
        <v>Abrir facsímil</v>
      </c>
      <c r="K4089" s="15" t="s">
        <v>23</v>
      </c>
    </row>
    <row r="4090" spans="1:11" ht="42" customHeight="1">
      <c r="A4090" s="4" t="s">
        <v>10237</v>
      </c>
      <c r="B4090" s="5" t="s">
        <v>10238</v>
      </c>
      <c r="C4090" s="5" t="s">
        <v>80</v>
      </c>
      <c r="D4090" s="5" t="s">
        <v>81</v>
      </c>
      <c r="E4090" s="5" t="s">
        <v>138</v>
      </c>
      <c r="F4090" s="9">
        <v>68</v>
      </c>
      <c r="G4090" s="9">
        <v>744</v>
      </c>
      <c r="H4090" s="5" t="s">
        <v>21</v>
      </c>
      <c r="I4090" s="5" t="s">
        <v>10239</v>
      </c>
      <c r="J4090" s="12" t="str">
        <f>HYPERLINK("https://www.boe.es/gazeta/dias/1803/08/26/pdfs/GMD-1803-68.pdf#page=12","Abrir facsímil")</f>
        <v>Abrir facsímil</v>
      </c>
      <c r="K4090" s="15" t="s">
        <v>23</v>
      </c>
    </row>
    <row r="4091" spans="1:11" ht="42" customHeight="1">
      <c r="A4091" s="4" t="s">
        <v>10240</v>
      </c>
      <c r="B4091" s="5" t="s">
        <v>10241</v>
      </c>
      <c r="C4091" s="5" t="s">
        <v>18</v>
      </c>
      <c r="D4091" s="5" t="s">
        <v>19</v>
      </c>
      <c r="E4091" s="5" t="s">
        <v>391</v>
      </c>
      <c r="F4091" s="9">
        <v>61</v>
      </c>
      <c r="G4091" s="9">
        <v>668</v>
      </c>
      <c r="H4091" s="5" t="s">
        <v>21</v>
      </c>
      <c r="I4091" s="5" t="s">
        <v>10242</v>
      </c>
      <c r="J4091" s="12" t="str">
        <f>HYPERLINK("https://www.boe.es/gazeta/dias/1803/08/02/pdfs/GMD-1803-61.pdf#page=8","Abrir facsímil")</f>
        <v>Abrir facsímil</v>
      </c>
      <c r="K4091" s="15" t="s">
        <v>23</v>
      </c>
    </row>
    <row r="4092" spans="1:11" ht="42" customHeight="1">
      <c r="A4092" s="4" t="s">
        <v>10243</v>
      </c>
      <c r="B4092" s="5" t="s">
        <v>10244</v>
      </c>
      <c r="C4092" s="5" t="s">
        <v>51</v>
      </c>
      <c r="D4092" s="5" t="s">
        <v>52</v>
      </c>
      <c r="E4092" s="5" t="s">
        <v>93</v>
      </c>
      <c r="F4092" s="9">
        <v>43</v>
      </c>
      <c r="G4092" s="9">
        <v>451</v>
      </c>
      <c r="H4092" s="5" t="s">
        <v>21</v>
      </c>
      <c r="I4092" s="5" t="s">
        <v>10245</v>
      </c>
      <c r="J4092" s="12" t="str">
        <f>HYPERLINK("https://www.boe.es/gazeta/dias/1803/05/31/pdfs/GMD-1803-43.pdf#page=11","Abrir facsímil")</f>
        <v>Abrir facsímil</v>
      </c>
      <c r="K4092" s="15" t="s">
        <v>23</v>
      </c>
    </row>
    <row r="4093" spans="1:11" ht="42" customHeight="1">
      <c r="A4093" s="4" t="s">
        <v>10246</v>
      </c>
      <c r="B4093" s="5" t="s">
        <v>10247</v>
      </c>
      <c r="C4093" s="5" t="s">
        <v>26</v>
      </c>
      <c r="D4093" s="5" t="s">
        <v>27</v>
      </c>
      <c r="E4093" s="5" t="s">
        <v>88</v>
      </c>
      <c r="F4093" s="9">
        <v>18</v>
      </c>
      <c r="G4093" s="9">
        <v>188</v>
      </c>
      <c r="H4093" s="5" t="s">
        <v>21</v>
      </c>
      <c r="I4093" s="5" t="s">
        <v>10248</v>
      </c>
      <c r="J4093" s="12" t="str">
        <f>HYPERLINK("https://www.boe.es/gazeta/dias/1803/03/04/pdfs/GMD-1803-18.pdf#page=8","Abrir facsímil")</f>
        <v>Abrir facsímil</v>
      </c>
      <c r="K4093" s="15" t="s">
        <v>23</v>
      </c>
    </row>
    <row r="4094" spans="1:11" ht="42" customHeight="1">
      <c r="A4094" s="4" t="s">
        <v>10249</v>
      </c>
      <c r="B4094" s="5" t="s">
        <v>10250</v>
      </c>
      <c r="C4094" s="5" t="s">
        <v>51</v>
      </c>
      <c r="D4094" s="5" t="s">
        <v>52</v>
      </c>
      <c r="E4094" s="5" t="s">
        <v>71</v>
      </c>
      <c r="F4094" s="9">
        <v>39</v>
      </c>
      <c r="G4094" s="9">
        <v>413</v>
      </c>
      <c r="H4094" s="5" t="s">
        <v>21</v>
      </c>
      <c r="I4094" s="5" t="s">
        <v>10251</v>
      </c>
      <c r="J4094" s="12" t="str">
        <f>HYPERLINK("https://www.boe.es/gazeta/dias/1803/05/17/pdfs/GMD-1803-39.pdf#page=9","Abrir facsímil")</f>
        <v>Abrir facsímil</v>
      </c>
      <c r="K4094" s="15" t="s">
        <v>23</v>
      </c>
    </row>
    <row r="4095" spans="1:11" ht="42" customHeight="1">
      <c r="A4095" s="4" t="s">
        <v>10252</v>
      </c>
      <c r="B4095" s="5" t="s">
        <v>10253</v>
      </c>
      <c r="C4095" s="5" t="s">
        <v>40</v>
      </c>
      <c r="D4095" s="5" t="s">
        <v>41</v>
      </c>
      <c r="E4095" s="5" t="s">
        <v>28</v>
      </c>
      <c r="F4095" s="9">
        <v>92</v>
      </c>
      <c r="G4095" s="9">
        <v>986</v>
      </c>
      <c r="H4095" s="5" t="s">
        <v>21</v>
      </c>
      <c r="I4095" s="5" t="s">
        <v>10254</v>
      </c>
      <c r="J4095" s="12" t="str">
        <f>HYPERLINK("https://www.boe.es/gazeta/dias/1803/11/15/pdfs/GMD-1803-92.pdf#page=6","Abrir facsímil")</f>
        <v>Abrir facsímil</v>
      </c>
      <c r="K4095" s="15" t="s">
        <v>23</v>
      </c>
    </row>
    <row r="4096" spans="1:11" ht="42" customHeight="1">
      <c r="A4096" s="4" t="s">
        <v>10255</v>
      </c>
      <c r="B4096" s="5" t="s">
        <v>10256</v>
      </c>
      <c r="C4096" s="5" t="s">
        <v>18</v>
      </c>
      <c r="D4096" s="5" t="s">
        <v>19</v>
      </c>
      <c r="E4096" s="5" t="s">
        <v>109</v>
      </c>
      <c r="F4096" s="9">
        <v>102</v>
      </c>
      <c r="G4096" s="9">
        <v>1097</v>
      </c>
      <c r="H4096" s="5" t="s">
        <v>21</v>
      </c>
      <c r="I4096" s="5" t="s">
        <v>10257</v>
      </c>
      <c r="J4096" s="12" t="str">
        <f>HYPERLINK("https://www.boe.es/gazeta/dias/1803/12/20/pdfs/GMD-1803-102.pdf#page=9","Abrir facsímil")</f>
        <v>Abrir facsímil</v>
      </c>
      <c r="K4096" s="15" t="s">
        <v>23</v>
      </c>
    </row>
    <row r="4097" spans="1:11" ht="42" customHeight="1">
      <c r="A4097" s="4" t="s">
        <v>10258</v>
      </c>
      <c r="B4097" s="5" t="s">
        <v>10259</v>
      </c>
      <c r="C4097" s="5" t="s">
        <v>40</v>
      </c>
      <c r="D4097" s="5" t="s">
        <v>41</v>
      </c>
      <c r="E4097" s="5" t="s">
        <v>1279</v>
      </c>
      <c r="F4097" s="9">
        <v>3</v>
      </c>
      <c r="G4097" s="9">
        <v>21</v>
      </c>
      <c r="H4097" s="5" t="s">
        <v>21</v>
      </c>
      <c r="I4097" s="5" t="s">
        <v>10260</v>
      </c>
      <c r="J4097" s="12" t="str">
        <f>HYPERLINK("https://www.boe.es/gazeta/dias/1803/01/11/pdfs/GMD-1803-3.pdf#page=1","Abrir facsímil")</f>
        <v>Abrir facsímil</v>
      </c>
      <c r="K4097" s="15" t="s">
        <v>23</v>
      </c>
    </row>
    <row r="4098" spans="1:11" ht="42" customHeight="1">
      <c r="A4098" s="4" t="s">
        <v>10261</v>
      </c>
      <c r="B4098" s="5" t="s">
        <v>10262</v>
      </c>
      <c r="C4098" s="5" t="s">
        <v>26</v>
      </c>
      <c r="D4098" s="5" t="s">
        <v>27</v>
      </c>
      <c r="E4098" s="5" t="s">
        <v>32</v>
      </c>
      <c r="F4098" s="9">
        <v>74</v>
      </c>
      <c r="G4098" s="9">
        <v>803</v>
      </c>
      <c r="H4098" s="5" t="s">
        <v>21</v>
      </c>
      <c r="I4098" s="5" t="s">
        <v>10263</v>
      </c>
      <c r="J4098" s="12" t="str">
        <f>HYPERLINK("https://www.boe.es/gazeta/dias/1803/09/13/pdfs/GMD-1803-74.pdf#page=7","Abrir facsímil")</f>
        <v>Abrir facsímil</v>
      </c>
      <c r="K4098" s="15" t="s">
        <v>23</v>
      </c>
    </row>
    <row r="4099" spans="1:11" ht="42" customHeight="1">
      <c r="A4099" s="4" t="s">
        <v>10264</v>
      </c>
      <c r="B4099" s="5" t="s">
        <v>10265</v>
      </c>
      <c r="C4099" s="5" t="s">
        <v>26</v>
      </c>
      <c r="D4099" s="5" t="s">
        <v>27</v>
      </c>
      <c r="E4099" s="5" t="s">
        <v>784</v>
      </c>
      <c r="F4099" s="9">
        <v>86</v>
      </c>
      <c r="G4099" s="9">
        <v>929</v>
      </c>
      <c r="H4099" s="5" t="s">
        <v>21</v>
      </c>
      <c r="I4099" s="5" t="s">
        <v>10266</v>
      </c>
      <c r="J4099" s="12" t="str">
        <f>HYPERLINK("https://www.boe.es/gazeta/dias/1803/10/25/pdfs/GMD-1803-86.pdf#page=9","Abrir facsímil")</f>
        <v>Abrir facsímil</v>
      </c>
      <c r="K4099" s="15" t="s">
        <v>23</v>
      </c>
    </row>
    <row r="4100" spans="1:11" ht="42" customHeight="1">
      <c r="A4100" s="4" t="s">
        <v>10267</v>
      </c>
      <c r="B4100" s="5" t="s">
        <v>10268</v>
      </c>
      <c r="C4100" s="5" t="s">
        <v>18</v>
      </c>
      <c r="D4100" s="5" t="s">
        <v>19</v>
      </c>
      <c r="E4100" s="5" t="s">
        <v>75</v>
      </c>
      <c r="F4100" s="9">
        <v>56</v>
      </c>
      <c r="G4100" s="9">
        <v>611</v>
      </c>
      <c r="H4100" s="5" t="s">
        <v>21</v>
      </c>
      <c r="I4100" s="5" t="s">
        <v>10269</v>
      </c>
      <c r="J4100" s="12" t="str">
        <f>HYPERLINK("https://www.boe.es/gazeta/dias/1803/07/15/pdfs/GMD-1803-56.pdf#page=7","Abrir facsímil")</f>
        <v>Abrir facsímil</v>
      </c>
      <c r="K4100" s="15" t="s">
        <v>23</v>
      </c>
    </row>
    <row r="4101" spans="1:11" ht="42" customHeight="1">
      <c r="A4101" s="4" t="s">
        <v>10270</v>
      </c>
      <c r="B4101" s="5" t="s">
        <v>10271</v>
      </c>
      <c r="C4101" s="5" t="s">
        <v>26</v>
      </c>
      <c r="D4101" s="5" t="s">
        <v>27</v>
      </c>
      <c r="E4101" s="5" t="s">
        <v>36</v>
      </c>
      <c r="F4101" s="9">
        <v>79</v>
      </c>
      <c r="G4101" s="9">
        <v>854</v>
      </c>
      <c r="H4101" s="5" t="s">
        <v>21</v>
      </c>
      <c r="I4101" s="5" t="s">
        <v>10272</v>
      </c>
      <c r="J4101" s="12" t="str">
        <f>HYPERLINK("https://www.boe.es/gazeta/dias/1803/09/30/pdfs/GMD-1803-79.pdf#page=6","Abrir facsímil")</f>
        <v>Abrir facsímil</v>
      </c>
      <c r="K4101" s="15" t="s">
        <v>23</v>
      </c>
    </row>
    <row r="4102" spans="1:11" ht="42" customHeight="1">
      <c r="A4102" s="4" t="s">
        <v>10273</v>
      </c>
      <c r="B4102" s="5" t="s">
        <v>10274</v>
      </c>
      <c r="C4102" s="5" t="s">
        <v>26</v>
      </c>
      <c r="D4102" s="5" t="s">
        <v>27</v>
      </c>
      <c r="E4102" s="5" t="s">
        <v>231</v>
      </c>
      <c r="F4102" s="9">
        <v>26</v>
      </c>
      <c r="G4102" s="9">
        <v>282</v>
      </c>
      <c r="H4102" s="5" t="s">
        <v>21</v>
      </c>
      <c r="I4102" s="5" t="s">
        <v>10275</v>
      </c>
      <c r="J4102" s="12" t="str">
        <f>HYPERLINK("https://www.boe.es/gazeta/dias/1803/04/01/pdfs/GMD-1803-26.pdf#page=10","Abrir facsímil")</f>
        <v>Abrir facsímil</v>
      </c>
      <c r="K4102" s="15" t="s">
        <v>23</v>
      </c>
    </row>
    <row r="4103" spans="1:11" ht="42" customHeight="1">
      <c r="A4103" s="4" t="s">
        <v>10276</v>
      </c>
      <c r="B4103" s="5" t="s">
        <v>10277</v>
      </c>
      <c r="C4103" s="5" t="s">
        <v>51</v>
      </c>
      <c r="D4103" s="5" t="s">
        <v>52</v>
      </c>
      <c r="E4103" s="5" t="s">
        <v>509</v>
      </c>
      <c r="F4103" s="9">
        <v>6</v>
      </c>
      <c r="G4103" s="9">
        <v>51</v>
      </c>
      <c r="H4103" s="5" t="s">
        <v>21</v>
      </c>
      <c r="I4103" s="5" t="s">
        <v>10278</v>
      </c>
      <c r="J4103" s="12" t="str">
        <f>HYPERLINK("https://www.boe.es/gazeta/dias/1803/01/21/pdfs/GMD-1803-6.pdf#page=3","Abrir facsímil")</f>
        <v>Abrir facsímil</v>
      </c>
      <c r="K4103" s="15" t="s">
        <v>23</v>
      </c>
    </row>
    <row r="4104" spans="1:11" ht="42" customHeight="1">
      <c r="A4104" s="4" t="s">
        <v>10279</v>
      </c>
      <c r="B4104" s="5" t="s">
        <v>10279</v>
      </c>
      <c r="C4104" s="5" t="s">
        <v>26</v>
      </c>
      <c r="D4104" s="5" t="s">
        <v>27</v>
      </c>
      <c r="E4104" s="5" t="s">
        <v>64</v>
      </c>
      <c r="F4104" s="9">
        <v>65</v>
      </c>
      <c r="G4104" s="9">
        <v>704</v>
      </c>
      <c r="H4104" s="5" t="s">
        <v>21</v>
      </c>
      <c r="I4104" s="5" t="s">
        <v>10280</v>
      </c>
      <c r="J4104" s="12" t="str">
        <f>HYPERLINK("https://www.boe.es/gazeta/dias/1803/08/16/pdfs/GMD-1803-65.pdf#page=4","Abrir facsímil")</f>
        <v>Abrir facsímil</v>
      </c>
      <c r="K4104" s="15" t="s">
        <v>23</v>
      </c>
    </row>
    <row r="4105" spans="1:11" ht="42" customHeight="1">
      <c r="A4105" s="4" t="s">
        <v>10281</v>
      </c>
      <c r="B4105" s="5" t="s">
        <v>10282</v>
      </c>
      <c r="C4105" s="5" t="s">
        <v>51</v>
      </c>
      <c r="D4105" s="5" t="s">
        <v>52</v>
      </c>
      <c r="E4105" s="5" t="s">
        <v>340</v>
      </c>
      <c r="F4105" s="9">
        <v>55</v>
      </c>
      <c r="G4105" s="9">
        <v>598</v>
      </c>
      <c r="H4105" s="5" t="s">
        <v>21</v>
      </c>
      <c r="I4105" s="5" t="s">
        <v>10283</v>
      </c>
      <c r="J4105" s="12" t="str">
        <f>HYPERLINK("https://www.boe.es/gazeta/dias/1803/07/12/pdfs/GMD-1803-55.pdf#page=6","Abrir facsímil")</f>
        <v>Abrir facsímil</v>
      </c>
      <c r="K4105" s="15" t="s">
        <v>23</v>
      </c>
    </row>
    <row r="4106" spans="1:11" ht="42" customHeight="1">
      <c r="A4106" s="4" t="s">
        <v>10284</v>
      </c>
      <c r="B4106" s="5" t="s">
        <v>10284</v>
      </c>
      <c r="C4106" s="5" t="s">
        <v>26</v>
      </c>
      <c r="D4106" s="5" t="s">
        <v>27</v>
      </c>
      <c r="E4106" s="5" t="s">
        <v>88</v>
      </c>
      <c r="F4106" s="9">
        <v>18</v>
      </c>
      <c r="G4106" s="9">
        <v>183</v>
      </c>
      <c r="H4106" s="5" t="s">
        <v>21</v>
      </c>
      <c r="I4106" s="5" t="s">
        <v>10285</v>
      </c>
      <c r="J4106" s="12" t="str">
        <f>HYPERLINK("https://www.boe.es/gazeta/dias/1803/03/04/pdfs/GMD-1803-18.pdf#page=3","Abrir facsímil")</f>
        <v>Abrir facsímil</v>
      </c>
      <c r="K4106" s="15" t="s">
        <v>23</v>
      </c>
    </row>
    <row r="4107" spans="1:11" ht="42" customHeight="1">
      <c r="A4107" s="4" t="s">
        <v>10286</v>
      </c>
      <c r="B4107" s="5" t="s">
        <v>10287</v>
      </c>
      <c r="C4107" s="5" t="s">
        <v>40</v>
      </c>
      <c r="D4107" s="5" t="s">
        <v>41</v>
      </c>
      <c r="E4107" s="5" t="s">
        <v>138</v>
      </c>
      <c r="F4107" s="9">
        <v>68</v>
      </c>
      <c r="G4107" s="9">
        <v>739</v>
      </c>
      <c r="H4107" s="5" t="s">
        <v>21</v>
      </c>
      <c r="I4107" s="5" t="s">
        <v>10288</v>
      </c>
      <c r="J4107" s="12" t="str">
        <f>HYPERLINK("https://www.boe.es/gazeta/dias/1803/08/26/pdfs/GMD-1803-68.pdf#page=7","Abrir facsímil")</f>
        <v>Abrir facsímil</v>
      </c>
      <c r="K4107" s="15" t="s">
        <v>23</v>
      </c>
    </row>
    <row r="4108" spans="1:11" ht="42" customHeight="1">
      <c r="A4108" s="4" t="s">
        <v>10289</v>
      </c>
      <c r="B4108" s="5" t="s">
        <v>10289</v>
      </c>
      <c r="C4108" s="5" t="s">
        <v>26</v>
      </c>
      <c r="D4108" s="5" t="s">
        <v>27</v>
      </c>
      <c r="E4108" s="5" t="s">
        <v>523</v>
      </c>
      <c r="F4108" s="9">
        <v>101</v>
      </c>
      <c r="G4108" s="9">
        <v>1079</v>
      </c>
      <c r="H4108" s="5" t="s">
        <v>21</v>
      </c>
      <c r="I4108" s="5" t="s">
        <v>10290</v>
      </c>
      <c r="J4108" s="12" t="str">
        <f>HYPERLINK("https://www.boe.es/gazeta/dias/1803/12/16/pdfs/GMD-1803-101.pdf#page=3","Abrir facsímil")</f>
        <v>Abrir facsímil</v>
      </c>
      <c r="K4108" s="15" t="s">
        <v>23</v>
      </c>
    </row>
    <row r="4109" spans="1:11" ht="42" customHeight="1">
      <c r="A4109" s="4" t="s">
        <v>10291</v>
      </c>
      <c r="B4109" s="5" t="s">
        <v>10291</v>
      </c>
      <c r="C4109" s="5" t="s">
        <v>51</v>
      </c>
      <c r="D4109" s="5" t="s">
        <v>52</v>
      </c>
      <c r="E4109" s="5" t="s">
        <v>300</v>
      </c>
      <c r="F4109" s="9">
        <v>96</v>
      </c>
      <c r="G4109" s="9">
        <v>1028</v>
      </c>
      <c r="H4109" s="5" t="s">
        <v>21</v>
      </c>
      <c r="I4109" s="5" t="s">
        <v>10292</v>
      </c>
      <c r="J4109" s="12" t="str">
        <f>HYPERLINK("https://www.boe.es/gazeta/dias/1803/11/29/pdfs/GMD-1803-96.pdf#page=4","Abrir facsímil")</f>
        <v>Abrir facsímil</v>
      </c>
      <c r="K4109" s="15" t="s">
        <v>23</v>
      </c>
    </row>
    <row r="4110" spans="1:11" ht="42" customHeight="1">
      <c r="A4110" s="4" t="s">
        <v>10293</v>
      </c>
      <c r="B4110" s="5" t="s">
        <v>10293</v>
      </c>
      <c r="C4110" s="5" t="s">
        <v>46</v>
      </c>
      <c r="D4110" s="5" t="s">
        <v>19</v>
      </c>
      <c r="E4110" s="5" t="s">
        <v>57</v>
      </c>
      <c r="F4110" s="9">
        <v>51</v>
      </c>
      <c r="G4110" s="9">
        <v>547</v>
      </c>
      <c r="H4110" s="5" t="s">
        <v>21</v>
      </c>
      <c r="I4110" s="5" t="s">
        <v>10294</v>
      </c>
      <c r="J4110" s="12" t="str">
        <f>HYPERLINK("https://www.boe.es/gazeta/dias/1803/06/28/pdfs/GMD-1803-51.pdf#page=3","Abrir facsímil")</f>
        <v>Abrir facsímil</v>
      </c>
      <c r="K4110" s="15" t="s">
        <v>23</v>
      </c>
    </row>
    <row r="4111" spans="1:11" ht="42" customHeight="1">
      <c r="A4111" s="4" t="s">
        <v>10295</v>
      </c>
      <c r="B4111" s="5" t="s">
        <v>10296</v>
      </c>
      <c r="C4111" s="5" t="s">
        <v>26</v>
      </c>
      <c r="D4111" s="5" t="s">
        <v>27</v>
      </c>
      <c r="E4111" s="5" t="s">
        <v>519</v>
      </c>
      <c r="F4111" s="9">
        <v>50</v>
      </c>
      <c r="G4111" s="9">
        <v>536</v>
      </c>
      <c r="H4111" s="5" t="s">
        <v>21</v>
      </c>
      <c r="I4111" s="5" t="s">
        <v>10297</v>
      </c>
      <c r="J4111" s="12" t="str">
        <f>HYPERLINK("https://www.boe.es/gazeta/dias/1803/06/24/pdfs/GMD-1803-50.pdf#page=4","Abrir facsímil")</f>
        <v>Abrir facsímil</v>
      </c>
      <c r="K4111" s="15" t="s">
        <v>23</v>
      </c>
    </row>
    <row r="4112" spans="1:11" ht="42" customHeight="1">
      <c r="A4112" s="4" t="s">
        <v>10295</v>
      </c>
      <c r="B4112" s="5" t="s">
        <v>10296</v>
      </c>
      <c r="C4112" s="5" t="s">
        <v>40</v>
      </c>
      <c r="D4112" s="5" t="s">
        <v>41</v>
      </c>
      <c r="E4112" s="5" t="s">
        <v>57</v>
      </c>
      <c r="F4112" s="9">
        <v>51</v>
      </c>
      <c r="G4112" s="9">
        <v>546</v>
      </c>
      <c r="H4112" s="5" t="s">
        <v>21</v>
      </c>
      <c r="I4112" s="5" t="s">
        <v>10298</v>
      </c>
      <c r="J4112" s="12" t="str">
        <f>HYPERLINK("https://www.boe.es/gazeta/dias/1803/06/28/pdfs/GMD-1803-51.pdf#page=2","Abrir facsímil")</f>
        <v>Abrir facsímil</v>
      </c>
      <c r="K4112" s="15" t="s">
        <v>23</v>
      </c>
    </row>
    <row r="4113" spans="1:11" ht="42" customHeight="1">
      <c r="A4113" s="4" t="s">
        <v>10299</v>
      </c>
      <c r="B4113" s="5" t="s">
        <v>10300</v>
      </c>
      <c r="C4113" s="5" t="s">
        <v>40</v>
      </c>
      <c r="D4113" s="5" t="s">
        <v>41</v>
      </c>
      <c r="E4113" s="5" t="s">
        <v>477</v>
      </c>
      <c r="F4113" s="9">
        <v>48</v>
      </c>
      <c r="G4113" s="9">
        <v>502</v>
      </c>
      <c r="H4113" s="5" t="s">
        <v>21</v>
      </c>
      <c r="I4113" s="5" t="s">
        <v>10301</v>
      </c>
      <c r="J4113" s="12" t="str">
        <f>HYPERLINK("https://www.boe.es/gazeta/dias/1803/06/17/pdfs/GMD-1803-48.pdf#page=2","Abrir facsímil")</f>
        <v>Abrir facsímil</v>
      </c>
      <c r="K4113" s="15" t="s">
        <v>23</v>
      </c>
    </row>
    <row r="4114" spans="1:11" ht="42" customHeight="1">
      <c r="A4114" s="4" t="s">
        <v>10302</v>
      </c>
      <c r="B4114" s="5" t="s">
        <v>10302</v>
      </c>
      <c r="C4114" s="5" t="s">
        <v>26</v>
      </c>
      <c r="D4114" s="5" t="s">
        <v>27</v>
      </c>
      <c r="E4114" s="5" t="s">
        <v>258</v>
      </c>
      <c r="F4114" s="9">
        <v>7</v>
      </c>
      <c r="G4114" s="9">
        <v>66</v>
      </c>
      <c r="H4114" s="5" t="s">
        <v>21</v>
      </c>
      <c r="I4114" s="5" t="s">
        <v>10303</v>
      </c>
      <c r="J4114" s="12" t="str">
        <f>HYPERLINK("https://www.boe.es/gazeta/dias/1803/01/25/pdfs/GMD-1803-7.pdf#page=6","Abrir facsímil")</f>
        <v>Abrir facsímil</v>
      </c>
      <c r="K4114" s="15" t="s">
        <v>23</v>
      </c>
    </row>
    <row r="4115" spans="1:11" ht="42" customHeight="1">
      <c r="A4115" s="4" t="s">
        <v>10304</v>
      </c>
      <c r="B4115" s="5" t="s">
        <v>10305</v>
      </c>
      <c r="C4115" s="5" t="s">
        <v>26</v>
      </c>
      <c r="D4115" s="5" t="s">
        <v>27</v>
      </c>
      <c r="E4115" s="5" t="s">
        <v>496</v>
      </c>
      <c r="F4115" s="9">
        <v>90</v>
      </c>
      <c r="G4115" s="9">
        <v>966</v>
      </c>
      <c r="H4115" s="5" t="s">
        <v>21</v>
      </c>
      <c r="I4115" s="5" t="s">
        <v>10306</v>
      </c>
      <c r="J4115" s="12" t="str">
        <f>HYPERLINK("https://www.boe.es/gazeta/dias/1803/11/08/pdfs/GMD-1803-90.pdf#page=6","Abrir facsímil")</f>
        <v>Abrir facsímil</v>
      </c>
      <c r="K4115" s="15" t="s">
        <v>23</v>
      </c>
    </row>
    <row r="4116" spans="1:11" ht="42" customHeight="1">
      <c r="A4116" s="4" t="s">
        <v>10307</v>
      </c>
      <c r="B4116" s="5" t="s">
        <v>10308</v>
      </c>
      <c r="C4116" s="5" t="s">
        <v>26</v>
      </c>
      <c r="D4116" s="5" t="s">
        <v>27</v>
      </c>
      <c r="E4116" s="5" t="s">
        <v>218</v>
      </c>
      <c r="F4116" s="9">
        <v>19</v>
      </c>
      <c r="G4116" s="9">
        <v>201</v>
      </c>
      <c r="H4116" s="5" t="s">
        <v>21</v>
      </c>
      <c r="I4116" s="5" t="s">
        <v>10309</v>
      </c>
      <c r="J4116" s="12" t="str">
        <f>HYPERLINK("https://www.boe.es/gazeta/dias/1803/03/08/pdfs/GMD-1803-19.pdf#page=9","Abrir facsímil")</f>
        <v>Abrir facsímil</v>
      </c>
      <c r="K4116" s="15" t="s">
        <v>23</v>
      </c>
    </row>
    <row r="4117" spans="1:11" ht="42" customHeight="1">
      <c r="A4117" s="4" t="s">
        <v>10310</v>
      </c>
      <c r="B4117" s="5" t="s">
        <v>10311</v>
      </c>
      <c r="C4117" s="5" t="s">
        <v>51</v>
      </c>
      <c r="D4117" s="5" t="s">
        <v>52</v>
      </c>
      <c r="E4117" s="5" t="s">
        <v>199</v>
      </c>
      <c r="F4117" s="9">
        <v>88</v>
      </c>
      <c r="G4117" s="9">
        <v>945</v>
      </c>
      <c r="H4117" s="5" t="s">
        <v>21</v>
      </c>
      <c r="I4117" s="5" t="s">
        <v>10312</v>
      </c>
      <c r="J4117" s="12" t="str">
        <f>HYPERLINK("https://www.boe.es/gazeta/dias/1803/11/01/pdfs/GMD-1803-88.pdf#page=5","Abrir facsímil")</f>
        <v>Abrir facsímil</v>
      </c>
      <c r="K4117" s="15" t="s">
        <v>23</v>
      </c>
    </row>
    <row r="4118" spans="1:11" ht="42" customHeight="1">
      <c r="A4118" s="4" t="s">
        <v>10313</v>
      </c>
      <c r="B4118" s="5" t="s">
        <v>10314</v>
      </c>
      <c r="C4118" s="5" t="s">
        <v>26</v>
      </c>
      <c r="D4118" s="5" t="s">
        <v>27</v>
      </c>
      <c r="E4118" s="5" t="s">
        <v>395</v>
      </c>
      <c r="F4118" s="9">
        <v>13</v>
      </c>
      <c r="G4118" s="9">
        <v>129</v>
      </c>
      <c r="H4118" s="5" t="s">
        <v>21</v>
      </c>
      <c r="I4118" s="5" t="s">
        <v>10315</v>
      </c>
      <c r="J4118" s="12" t="str">
        <f>HYPERLINK("https://www.boe.es/gazeta/dias/1803/02/15/pdfs/GMD-1803-13.pdf#page=5","Abrir facsímil")</f>
        <v>Abrir facsímil</v>
      </c>
      <c r="K4118" s="15" t="s">
        <v>23</v>
      </c>
    </row>
    <row r="4119" spans="1:11" ht="42" customHeight="1">
      <c r="A4119" s="4" t="s">
        <v>10316</v>
      </c>
      <c r="B4119" s="5" t="s">
        <v>10317</v>
      </c>
      <c r="C4119" s="5" t="s">
        <v>51</v>
      </c>
      <c r="D4119" s="5" t="s">
        <v>52</v>
      </c>
      <c r="E4119" s="5" t="s">
        <v>148</v>
      </c>
      <c r="F4119" s="9">
        <v>15</v>
      </c>
      <c r="G4119" s="9">
        <v>150</v>
      </c>
      <c r="H4119" s="5" t="s">
        <v>21</v>
      </c>
      <c r="I4119" s="5" t="s">
        <v>10318</v>
      </c>
      <c r="J4119" s="12" t="str">
        <f>HYPERLINK("https://www.boe.es/gazeta/dias/1803/02/22/pdfs/GMD-1803-15.pdf#page=2","Abrir facsímil")</f>
        <v>Abrir facsímil</v>
      </c>
      <c r="K4119" s="15" t="s">
        <v>23</v>
      </c>
    </row>
    <row r="4120" spans="1:11" ht="42" customHeight="1">
      <c r="A4120" s="4" t="s">
        <v>10316</v>
      </c>
      <c r="B4120" s="5" t="s">
        <v>10317</v>
      </c>
      <c r="C4120" s="5" t="s">
        <v>26</v>
      </c>
      <c r="D4120" s="5" t="s">
        <v>27</v>
      </c>
      <c r="E4120" s="5" t="s">
        <v>214</v>
      </c>
      <c r="F4120" s="9">
        <v>17</v>
      </c>
      <c r="G4120" s="9">
        <v>176</v>
      </c>
      <c r="H4120" s="5" t="s">
        <v>21</v>
      </c>
      <c r="I4120" s="5" t="s">
        <v>10319</v>
      </c>
      <c r="J4120" s="12" t="str">
        <f>HYPERLINK("https://www.boe.es/gazeta/dias/1803/03/01/pdfs/GMD-1803-17.pdf#page=8","Abrir facsímil")</f>
        <v>Abrir facsímil</v>
      </c>
      <c r="K4120" s="15" t="s">
        <v>23</v>
      </c>
    </row>
    <row r="4121" spans="1:11" ht="42" customHeight="1">
      <c r="A4121" s="4" t="s">
        <v>10316</v>
      </c>
      <c r="B4121" s="5" t="s">
        <v>10317</v>
      </c>
      <c r="C4121" s="5" t="s">
        <v>26</v>
      </c>
      <c r="D4121" s="5" t="s">
        <v>27</v>
      </c>
      <c r="E4121" s="5" t="s">
        <v>174</v>
      </c>
      <c r="F4121" s="9">
        <v>21</v>
      </c>
      <c r="G4121" s="9">
        <v>217</v>
      </c>
      <c r="H4121" s="5" t="s">
        <v>21</v>
      </c>
      <c r="I4121" s="5" t="s">
        <v>10320</v>
      </c>
      <c r="J4121" s="12" t="str">
        <f>HYPERLINK("https://www.boe.es/gazeta/dias/1803/03/15/pdfs/GMD-1803-21.pdf#page=1","Abrir facsímil")</f>
        <v>Abrir facsímil</v>
      </c>
      <c r="K4121" s="15" t="s">
        <v>23</v>
      </c>
    </row>
    <row r="4122" spans="1:11" ht="42" customHeight="1">
      <c r="A4122" s="4" t="s">
        <v>10316</v>
      </c>
      <c r="B4122" s="5" t="s">
        <v>10317</v>
      </c>
      <c r="C4122" s="5" t="s">
        <v>40</v>
      </c>
      <c r="D4122" s="5" t="s">
        <v>41</v>
      </c>
      <c r="E4122" s="5" t="s">
        <v>272</v>
      </c>
      <c r="F4122" s="9">
        <v>25</v>
      </c>
      <c r="G4122" s="9">
        <v>261</v>
      </c>
      <c r="H4122" s="5" t="s">
        <v>21</v>
      </c>
      <c r="I4122" s="5" t="s">
        <v>10321</v>
      </c>
      <c r="J4122" s="12" t="str">
        <f>HYPERLINK("https://www.boe.es/gazeta/dias/1803/03/29/pdfs/GMD-1803-25.pdf#page=1","Abrir facsímil")</f>
        <v>Abrir facsímil</v>
      </c>
      <c r="K4122" s="15" t="s">
        <v>23</v>
      </c>
    </row>
    <row r="4123" spans="1:11" ht="42" customHeight="1">
      <c r="A4123" s="4" t="s">
        <v>10316</v>
      </c>
      <c r="B4123" s="5" t="s">
        <v>10317</v>
      </c>
      <c r="C4123" s="5" t="s">
        <v>40</v>
      </c>
      <c r="D4123" s="5" t="s">
        <v>41</v>
      </c>
      <c r="E4123" s="5" t="s">
        <v>967</v>
      </c>
      <c r="F4123" s="9">
        <v>35</v>
      </c>
      <c r="G4123" s="9">
        <v>362</v>
      </c>
      <c r="H4123" s="5" t="s">
        <v>21</v>
      </c>
      <c r="I4123" s="5" t="s">
        <v>10322</v>
      </c>
      <c r="J4123" s="12" t="str">
        <f>HYPERLINK("https://www.boe.es/gazeta/dias/1803/05/03/pdfs/GMD-1803-35.pdf#page=2","Abrir facsímil")</f>
        <v>Abrir facsímil</v>
      </c>
      <c r="K4123" s="15" t="s">
        <v>23</v>
      </c>
    </row>
    <row r="4124" spans="1:11" ht="42" customHeight="1">
      <c r="A4124" s="4" t="s">
        <v>10323</v>
      </c>
      <c r="B4124" s="5" t="s">
        <v>10324</v>
      </c>
      <c r="C4124" s="5" t="s">
        <v>40</v>
      </c>
      <c r="D4124" s="5" t="s">
        <v>41</v>
      </c>
      <c r="E4124" s="5" t="s">
        <v>493</v>
      </c>
      <c r="F4124" s="9">
        <v>104</v>
      </c>
      <c r="G4124" s="9">
        <v>1112</v>
      </c>
      <c r="H4124" s="5" t="s">
        <v>21</v>
      </c>
      <c r="I4124" s="5" t="s">
        <v>10325</v>
      </c>
      <c r="J4124" s="12" t="str">
        <f>HYPERLINK("https://www.boe.es/gazeta/dias/1803/12/27/pdfs/GMD-1803-104.pdf#page=4","Abrir facsímil")</f>
        <v>Abrir facsímil</v>
      </c>
      <c r="K4124" s="15" t="s">
        <v>23</v>
      </c>
    </row>
    <row r="4125" spans="1:11" ht="42" customHeight="1">
      <c r="A4125" s="4" t="s">
        <v>10326</v>
      </c>
      <c r="B4125" s="5" t="s">
        <v>10326</v>
      </c>
      <c r="C4125" s="5" t="s">
        <v>80</v>
      </c>
      <c r="D4125" s="5" t="s">
        <v>81</v>
      </c>
      <c r="E4125" s="5" t="s">
        <v>967</v>
      </c>
      <c r="F4125" s="9">
        <v>35</v>
      </c>
      <c r="G4125" s="9">
        <v>368</v>
      </c>
      <c r="H4125" s="5" t="s">
        <v>21</v>
      </c>
      <c r="I4125" s="5" t="s">
        <v>10327</v>
      </c>
      <c r="J4125" s="12" t="str">
        <f>HYPERLINK("https://www.boe.es/gazeta/dias/1803/05/03/pdfs/GMD-1803-35.pdf#page=8","Abrir facsímil")</f>
        <v>Abrir facsímil</v>
      </c>
      <c r="K4125" s="15" t="s">
        <v>23</v>
      </c>
    </row>
    <row r="4126" spans="1:11" ht="42" customHeight="1">
      <c r="A4126" s="4" t="s">
        <v>10328</v>
      </c>
      <c r="B4126" s="5" t="s">
        <v>10328</v>
      </c>
      <c r="C4126" s="5" t="s">
        <v>40</v>
      </c>
      <c r="D4126" s="5" t="s">
        <v>41</v>
      </c>
      <c r="E4126" s="5" t="s">
        <v>373</v>
      </c>
      <c r="F4126" s="9">
        <v>77</v>
      </c>
      <c r="G4126" s="9">
        <v>831</v>
      </c>
      <c r="H4126" s="5" t="s">
        <v>21</v>
      </c>
      <c r="I4126" s="5" t="s">
        <v>10329</v>
      </c>
      <c r="J4126" s="12" t="str">
        <f>HYPERLINK("https://www.boe.es/gazeta/dias/1803/09/23/pdfs/GMD-1803-77.pdf#page=7","Abrir facsímil")</f>
        <v>Abrir facsímil</v>
      </c>
      <c r="K4126" s="15" t="s">
        <v>23</v>
      </c>
    </row>
    <row r="4127" spans="1:11" ht="42" customHeight="1">
      <c r="A4127" s="4" t="s">
        <v>10330</v>
      </c>
      <c r="B4127" s="5" t="s">
        <v>10330</v>
      </c>
      <c r="C4127" s="5" t="s">
        <v>40</v>
      </c>
      <c r="D4127" s="5" t="s">
        <v>41</v>
      </c>
      <c r="E4127" s="5" t="s">
        <v>211</v>
      </c>
      <c r="F4127" s="9">
        <v>71</v>
      </c>
      <c r="G4127" s="9">
        <v>775</v>
      </c>
      <c r="H4127" s="5" t="s">
        <v>21</v>
      </c>
      <c r="I4127" s="5" t="s">
        <v>8237</v>
      </c>
      <c r="J4127" s="12" t="str">
        <f>HYPERLINK("https://www.boe.es/gazeta/dias/1803/09/06/pdfs/GMD-1803-71.pdf#page=7","Abrir facsímil")</f>
        <v>Abrir facsímil</v>
      </c>
      <c r="K4127" s="15" t="s">
        <v>23</v>
      </c>
    </row>
    <row r="4128" spans="1:11" ht="42" customHeight="1">
      <c r="A4128" s="4" t="s">
        <v>10331</v>
      </c>
      <c r="B4128" s="5" t="s">
        <v>10331</v>
      </c>
      <c r="C4128" s="5" t="s">
        <v>40</v>
      </c>
      <c r="D4128" s="5" t="s">
        <v>41</v>
      </c>
      <c r="E4128" s="5" t="s">
        <v>138</v>
      </c>
      <c r="F4128" s="9">
        <v>68</v>
      </c>
      <c r="G4128" s="9">
        <v>738</v>
      </c>
      <c r="H4128" s="5" t="s">
        <v>21</v>
      </c>
      <c r="I4128" s="5" t="s">
        <v>10332</v>
      </c>
      <c r="J4128" s="12" t="str">
        <f>HYPERLINK("https://www.boe.es/gazeta/dias/1803/08/26/pdfs/GMD-1803-68.pdf#page=6","Abrir facsímil")</f>
        <v>Abrir facsímil</v>
      </c>
      <c r="K4128" s="15" t="s">
        <v>23</v>
      </c>
    </row>
    <row r="4129" spans="1:11" ht="42" customHeight="1">
      <c r="A4129" s="4" t="s">
        <v>10333</v>
      </c>
      <c r="B4129" s="5" t="s">
        <v>10333</v>
      </c>
      <c r="C4129" s="5" t="s">
        <v>40</v>
      </c>
      <c r="D4129" s="5" t="s">
        <v>41</v>
      </c>
      <c r="E4129" s="5" t="s">
        <v>1279</v>
      </c>
      <c r="F4129" s="9">
        <v>3</v>
      </c>
      <c r="G4129" s="9">
        <v>21</v>
      </c>
      <c r="H4129" s="5" t="s">
        <v>21</v>
      </c>
      <c r="I4129" s="5" t="s">
        <v>10334</v>
      </c>
      <c r="J4129" s="12" t="str">
        <f>HYPERLINK("https://www.boe.es/gazeta/dias/1803/01/11/pdfs/GMD-1803-3.pdf#page=1","Abrir facsímil")</f>
        <v>Abrir facsímil</v>
      </c>
      <c r="K4129" s="15" t="s">
        <v>23</v>
      </c>
    </row>
    <row r="4130" spans="1:11" ht="42" customHeight="1">
      <c r="A4130" s="4" t="s">
        <v>10333</v>
      </c>
      <c r="B4130" s="5" t="s">
        <v>10333</v>
      </c>
      <c r="C4130" s="5" t="s">
        <v>40</v>
      </c>
      <c r="D4130" s="5" t="s">
        <v>41</v>
      </c>
      <c r="E4130" s="5" t="s">
        <v>83</v>
      </c>
      <c r="F4130" s="9">
        <v>28</v>
      </c>
      <c r="G4130" s="9">
        <v>297</v>
      </c>
      <c r="H4130" s="5" t="s">
        <v>21</v>
      </c>
      <c r="I4130" s="5" t="s">
        <v>10335</v>
      </c>
      <c r="J4130" s="12" t="str">
        <f>HYPERLINK("https://www.boe.es/gazeta/dias/1803/04/08/pdfs/GMD-1803-28.pdf#page=1","Abrir facsímil")</f>
        <v>Abrir facsímil</v>
      </c>
      <c r="K4130" s="15" t="s">
        <v>23</v>
      </c>
    </row>
    <row r="4131" spans="1:11" ht="42" customHeight="1">
      <c r="A4131" s="4" t="s">
        <v>10336</v>
      </c>
      <c r="B4131" s="5" t="s">
        <v>10336</v>
      </c>
      <c r="C4131" s="5" t="s">
        <v>26</v>
      </c>
      <c r="D4131" s="5" t="s">
        <v>27</v>
      </c>
      <c r="E4131" s="5" t="s">
        <v>109</v>
      </c>
      <c r="F4131" s="9">
        <v>102</v>
      </c>
      <c r="G4131" s="9">
        <v>1090</v>
      </c>
      <c r="H4131" s="5" t="s">
        <v>21</v>
      </c>
      <c r="I4131" s="5" t="s">
        <v>10337</v>
      </c>
      <c r="J4131" s="12" t="str">
        <f>HYPERLINK("https://www.boe.es/gazeta/dias/1803/12/20/pdfs/GMD-1803-102.pdf#page=2","Abrir facsímil")</f>
        <v>Abrir facsímil</v>
      </c>
      <c r="K4131" s="15" t="s">
        <v>23</v>
      </c>
    </row>
    <row r="4132" spans="1:11" ht="42" customHeight="1">
      <c r="A4132" s="4" t="s">
        <v>10338</v>
      </c>
      <c r="B4132" s="5" t="s">
        <v>10339</v>
      </c>
      <c r="C4132" s="5" t="s">
        <v>40</v>
      </c>
      <c r="D4132" s="5" t="s">
        <v>41</v>
      </c>
      <c r="E4132" s="5" t="s">
        <v>189</v>
      </c>
      <c r="F4132" s="9">
        <v>9</v>
      </c>
      <c r="G4132" s="9">
        <v>85</v>
      </c>
      <c r="H4132" s="5" t="s">
        <v>21</v>
      </c>
      <c r="I4132" s="5" t="s">
        <v>10340</v>
      </c>
      <c r="J4132" s="12" t="str">
        <f>HYPERLINK("https://www.boe.es/gazeta/dias/1803/02/01/pdfs/GMD-1803-9.pdf#page=1","Abrir facsímil")</f>
        <v>Abrir facsímil</v>
      </c>
      <c r="K4132" s="15" t="s">
        <v>23</v>
      </c>
    </row>
    <row r="4133" spans="1:11" ht="42" customHeight="1">
      <c r="A4133" s="4" t="s">
        <v>10338</v>
      </c>
      <c r="B4133" s="5" t="s">
        <v>10339</v>
      </c>
      <c r="C4133" s="5" t="s">
        <v>40</v>
      </c>
      <c r="D4133" s="5" t="s">
        <v>41</v>
      </c>
      <c r="E4133" s="5" t="s">
        <v>313</v>
      </c>
      <c r="F4133" s="9">
        <v>14</v>
      </c>
      <c r="G4133" s="9">
        <v>141</v>
      </c>
      <c r="H4133" s="5" t="s">
        <v>21</v>
      </c>
      <c r="I4133" s="5" t="s">
        <v>10341</v>
      </c>
      <c r="J4133" s="12" t="str">
        <f>HYPERLINK("https://www.boe.es/gazeta/dias/1803/02/18/pdfs/GMD-1803-14.pdf#page=5","Abrir facsímil")</f>
        <v>Abrir facsímil</v>
      </c>
      <c r="K4133" s="15" t="s">
        <v>23</v>
      </c>
    </row>
    <row r="4134" spans="1:11" ht="42" customHeight="1">
      <c r="A4134" s="4" t="s">
        <v>10338</v>
      </c>
      <c r="B4134" s="5" t="s">
        <v>10339</v>
      </c>
      <c r="C4134" s="5" t="s">
        <v>51</v>
      </c>
      <c r="D4134" s="5" t="s">
        <v>52</v>
      </c>
      <c r="E4134" s="5" t="s">
        <v>148</v>
      </c>
      <c r="F4134" s="9">
        <v>15</v>
      </c>
      <c r="G4134" s="9">
        <v>155</v>
      </c>
      <c r="H4134" s="5" t="s">
        <v>21</v>
      </c>
      <c r="I4134" s="5" t="s">
        <v>10342</v>
      </c>
      <c r="J4134" s="12" t="str">
        <f>HYPERLINK("https://www.boe.es/gazeta/dias/1803/02/22/pdfs/GMD-1803-15.pdf#page=7","Abrir facsímil")</f>
        <v>Abrir facsímil</v>
      </c>
      <c r="K4134" s="15" t="s">
        <v>23</v>
      </c>
    </row>
    <row r="4135" spans="1:11" ht="42" customHeight="1">
      <c r="A4135" s="4" t="s">
        <v>10343</v>
      </c>
      <c r="B4135" s="5" t="s">
        <v>10344</v>
      </c>
      <c r="C4135" s="5" t="s">
        <v>26</v>
      </c>
      <c r="D4135" s="5" t="s">
        <v>27</v>
      </c>
      <c r="E4135" s="5" t="s">
        <v>71</v>
      </c>
      <c r="F4135" s="9">
        <v>39</v>
      </c>
      <c r="G4135" s="9">
        <v>413</v>
      </c>
      <c r="H4135" s="5" t="s">
        <v>21</v>
      </c>
      <c r="I4135" s="5" t="s">
        <v>10345</v>
      </c>
      <c r="J4135" s="12" t="str">
        <f>HYPERLINK("https://www.boe.es/gazeta/dias/1803/05/17/pdfs/GMD-1803-39.pdf#page=9","Abrir facsímil")</f>
        <v>Abrir facsímil</v>
      </c>
      <c r="K4135" s="15" t="s">
        <v>23</v>
      </c>
    </row>
    <row r="4136" spans="1:11" ht="42" customHeight="1">
      <c r="A4136" s="4" t="s">
        <v>10346</v>
      </c>
      <c r="B4136" s="5" t="s">
        <v>10347</v>
      </c>
      <c r="C4136" s="5" t="s">
        <v>18</v>
      </c>
      <c r="D4136" s="5" t="s">
        <v>19</v>
      </c>
      <c r="E4136" s="5" t="s">
        <v>203</v>
      </c>
      <c r="F4136" s="9">
        <v>32</v>
      </c>
      <c r="G4136" s="9">
        <v>336</v>
      </c>
      <c r="H4136" s="5" t="s">
        <v>21</v>
      </c>
      <c r="I4136" s="5" t="s">
        <v>10348</v>
      </c>
      <c r="J4136" s="12" t="str">
        <f>HYPERLINK("https://www.boe.es/gazeta/dias/1803/04/22/pdfs/GMD-1803-32.pdf#page=8","Abrir facsímil")</f>
        <v>Abrir facsímil</v>
      </c>
      <c r="K4136" s="15" t="s">
        <v>23</v>
      </c>
    </row>
    <row r="4137" spans="1:11" ht="42" customHeight="1">
      <c r="A4137" s="4" t="s">
        <v>10349</v>
      </c>
      <c r="B4137" s="5" t="s">
        <v>10350</v>
      </c>
      <c r="C4137" s="5" t="s">
        <v>51</v>
      </c>
      <c r="D4137" s="5" t="s">
        <v>52</v>
      </c>
      <c r="E4137" s="5" t="s">
        <v>882</v>
      </c>
      <c r="F4137" s="9">
        <v>60</v>
      </c>
      <c r="G4137" s="9">
        <v>656</v>
      </c>
      <c r="H4137" s="5" t="s">
        <v>21</v>
      </c>
      <c r="I4137" s="5" t="s">
        <v>10351</v>
      </c>
      <c r="J4137" s="12" t="str">
        <f>HYPERLINK("https://www.boe.es/gazeta/dias/1803/07/29/pdfs/GMD-1803-60.pdf#page=8","Abrir facsímil")</f>
        <v>Abrir facsímil</v>
      </c>
      <c r="K4137" s="15" t="s">
        <v>23</v>
      </c>
    </row>
    <row r="4138" spans="1:11" ht="42" customHeight="1">
      <c r="A4138" s="4" t="s">
        <v>10352</v>
      </c>
      <c r="B4138" s="5" t="s">
        <v>10352</v>
      </c>
      <c r="C4138" s="5" t="s">
        <v>40</v>
      </c>
      <c r="D4138" s="5" t="s">
        <v>41</v>
      </c>
      <c r="E4138" s="5" t="s">
        <v>1279</v>
      </c>
      <c r="F4138" s="9">
        <v>3</v>
      </c>
      <c r="G4138" s="9">
        <v>22</v>
      </c>
      <c r="H4138" s="5" t="s">
        <v>21</v>
      </c>
      <c r="I4138" s="5" t="s">
        <v>10353</v>
      </c>
      <c r="J4138" s="12" t="str">
        <f>HYPERLINK("https://www.boe.es/gazeta/dias/1803/01/11/pdfs/GMD-1803-3.pdf#page=2","Abrir facsímil")</f>
        <v>Abrir facsímil</v>
      </c>
      <c r="K4138" s="15" t="s">
        <v>23</v>
      </c>
    </row>
    <row r="4139" spans="1:11" ht="42" customHeight="1">
      <c r="A4139" s="4" t="s">
        <v>10354</v>
      </c>
      <c r="B4139" s="5" t="s">
        <v>10355</v>
      </c>
      <c r="C4139" s="5" t="s">
        <v>40</v>
      </c>
      <c r="D4139" s="5" t="s">
        <v>41</v>
      </c>
      <c r="E4139" s="5" t="s">
        <v>417</v>
      </c>
      <c r="F4139" s="9">
        <v>72</v>
      </c>
      <c r="G4139" s="9">
        <v>782</v>
      </c>
      <c r="H4139" s="5" t="s">
        <v>21</v>
      </c>
      <c r="I4139" s="5" t="s">
        <v>10356</v>
      </c>
      <c r="J4139" s="12" t="str">
        <f>HYPERLINK("https://www.boe.es/gazeta/dias/1803/09/09/pdfs/GMD-1803-72.pdf#page=2","Abrir facsímil")</f>
        <v>Abrir facsímil</v>
      </c>
      <c r="K4139" s="15" t="s">
        <v>23</v>
      </c>
    </row>
    <row r="4140" spans="1:11" ht="42" customHeight="1">
      <c r="A4140" s="4" t="s">
        <v>10357</v>
      </c>
      <c r="B4140" s="5" t="s">
        <v>10358</v>
      </c>
      <c r="C4140" s="5" t="s">
        <v>874</v>
      </c>
      <c r="D4140" s="5" t="s">
        <v>875</v>
      </c>
      <c r="E4140" s="5" t="s">
        <v>480</v>
      </c>
      <c r="F4140" s="9">
        <v>87</v>
      </c>
      <c r="G4140" s="9" t="s">
        <v>1213</v>
      </c>
      <c r="H4140" s="5" t="s">
        <v>21</v>
      </c>
      <c r="I4140" s="5" t="s">
        <v>10359</v>
      </c>
      <c r="J4140" s="12" t="str">
        <f>HYPERLINK("https://www.boe.es/gazeta/dias/1803/10/28/pdfs/GMD-C-1803-87.pdf#page=2","Abrir facsímil")</f>
        <v>Abrir facsímil</v>
      </c>
      <c r="K4140" s="15" t="s">
        <v>23</v>
      </c>
    </row>
    <row r="4141" spans="1:11" ht="42" customHeight="1">
      <c r="A4141" s="4" t="s">
        <v>10360</v>
      </c>
      <c r="B4141" s="5" t="s">
        <v>10361</v>
      </c>
      <c r="C4141" s="5" t="s">
        <v>40</v>
      </c>
      <c r="D4141" s="5" t="s">
        <v>41</v>
      </c>
      <c r="E4141" s="5" t="s">
        <v>407</v>
      </c>
      <c r="F4141" s="9">
        <v>82</v>
      </c>
      <c r="G4141" s="9">
        <v>882</v>
      </c>
      <c r="H4141" s="5" t="s">
        <v>21</v>
      </c>
      <c r="I4141" s="5" t="s">
        <v>10362</v>
      </c>
      <c r="J4141" s="12" t="str">
        <f>HYPERLINK("https://www.boe.es/gazeta/dias/1803/10/11/pdfs/GMD-1803-82.pdf#page=6","Abrir facsímil")</f>
        <v>Abrir facsímil</v>
      </c>
      <c r="K4141" s="15" t="s">
        <v>23</v>
      </c>
    </row>
    <row r="4142" spans="1:11" ht="42" customHeight="1">
      <c r="A4142" s="4" t="s">
        <v>10363</v>
      </c>
      <c r="B4142" s="5" t="s">
        <v>10364</v>
      </c>
      <c r="C4142" s="5" t="s">
        <v>18</v>
      </c>
      <c r="D4142" s="5" t="s">
        <v>19</v>
      </c>
      <c r="E4142" s="5" t="s">
        <v>967</v>
      </c>
      <c r="F4142" s="9">
        <v>35</v>
      </c>
      <c r="G4142" s="9">
        <v>367</v>
      </c>
      <c r="H4142" s="5" t="s">
        <v>21</v>
      </c>
      <c r="I4142" s="5" t="s">
        <v>10365</v>
      </c>
      <c r="J4142" s="12" t="str">
        <f>HYPERLINK("https://www.boe.es/gazeta/dias/1803/05/03/pdfs/GMD-1803-35.pdf#page=7","Abrir facsímil")</f>
        <v>Abrir facsímil</v>
      </c>
      <c r="K4142" s="15" t="s">
        <v>23</v>
      </c>
    </row>
    <row r="4143" spans="1:11" ht="42" customHeight="1">
      <c r="A4143" s="4" t="s">
        <v>10366</v>
      </c>
      <c r="B4143" s="5" t="s">
        <v>10367</v>
      </c>
      <c r="C4143" s="5" t="s">
        <v>46</v>
      </c>
      <c r="D4143" s="5" t="s">
        <v>19</v>
      </c>
      <c r="E4143" s="5" t="s">
        <v>57</v>
      </c>
      <c r="F4143" s="9">
        <v>51</v>
      </c>
      <c r="G4143" s="9">
        <v>554</v>
      </c>
      <c r="H4143" s="5" t="s">
        <v>21</v>
      </c>
      <c r="I4143" s="5" t="s">
        <v>10368</v>
      </c>
      <c r="J4143" s="12" t="str">
        <f>HYPERLINK("https://www.boe.es/gazeta/dias/1803/06/28/pdfs/GMD-1803-51.pdf#page=10","Abrir facsímil")</f>
        <v>Abrir facsímil</v>
      </c>
      <c r="K4143" s="15" t="s">
        <v>23</v>
      </c>
    </row>
    <row r="4144" spans="1:11" ht="42" customHeight="1">
      <c r="A4144" s="4" t="s">
        <v>10369</v>
      </c>
      <c r="B4144" s="5" t="s">
        <v>10370</v>
      </c>
      <c r="C4144" s="5" t="s">
        <v>46</v>
      </c>
      <c r="D4144" s="5" t="s">
        <v>19</v>
      </c>
      <c r="E4144" s="5" t="s">
        <v>555</v>
      </c>
      <c r="F4144" s="9">
        <v>83</v>
      </c>
      <c r="G4144" s="9">
        <v>894</v>
      </c>
      <c r="H4144" s="5" t="s">
        <v>21</v>
      </c>
      <c r="I4144" s="5" t="s">
        <v>10371</v>
      </c>
      <c r="J4144" s="12" t="str">
        <f>HYPERLINK("https://www.boe.es/gazeta/dias/1803/10/14/pdfs/GMD-1803-83.pdf#page=6","Abrir facsímil")</f>
        <v>Abrir facsímil</v>
      </c>
      <c r="K4144" s="15" t="s">
        <v>23</v>
      </c>
    </row>
    <row r="4145" spans="1:11" ht="42" customHeight="1">
      <c r="A4145" s="4" t="s">
        <v>10372</v>
      </c>
      <c r="B4145" s="5" t="s">
        <v>10373</v>
      </c>
      <c r="C4145" s="5" t="s">
        <v>18</v>
      </c>
      <c r="D4145" s="5" t="s">
        <v>19</v>
      </c>
      <c r="E4145" s="5" t="s">
        <v>373</v>
      </c>
      <c r="F4145" s="9">
        <v>77</v>
      </c>
      <c r="G4145" s="9">
        <v>833</v>
      </c>
      <c r="H4145" s="5" t="s">
        <v>21</v>
      </c>
      <c r="I4145" s="5" t="s">
        <v>10374</v>
      </c>
      <c r="J4145" s="12" t="str">
        <f>HYPERLINK("https://www.boe.es/gazeta/dias/1803/09/23/pdfs/GMD-1803-77.pdf#page=9","Abrir facsímil")</f>
        <v>Abrir facsímil</v>
      </c>
      <c r="K4145" s="15" t="s">
        <v>23</v>
      </c>
    </row>
    <row r="4146" spans="1:11" ht="42" customHeight="1">
      <c r="A4146" s="4" t="s">
        <v>10375</v>
      </c>
      <c r="B4146" s="5" t="s">
        <v>10376</v>
      </c>
      <c r="C4146" s="5" t="s">
        <v>46</v>
      </c>
      <c r="D4146" s="5" t="s">
        <v>19</v>
      </c>
      <c r="E4146" s="5" t="s">
        <v>493</v>
      </c>
      <c r="F4146" s="9">
        <v>104</v>
      </c>
      <c r="G4146" s="9">
        <v>1116</v>
      </c>
      <c r="H4146" s="5" t="s">
        <v>21</v>
      </c>
      <c r="I4146" s="5" t="s">
        <v>10377</v>
      </c>
      <c r="J4146" s="12" t="str">
        <f>HYPERLINK("https://www.boe.es/gazeta/dias/1803/12/27/pdfs/GMD-1803-104.pdf#page=8","Abrir facsímil")</f>
        <v>Abrir facsímil</v>
      </c>
      <c r="K4146" s="15" t="s">
        <v>23</v>
      </c>
    </row>
    <row r="4147" spans="1:11" ht="42" customHeight="1">
      <c r="A4147" s="4" t="s">
        <v>10378</v>
      </c>
      <c r="B4147" s="5" t="s">
        <v>10379</v>
      </c>
      <c r="C4147" s="5" t="s">
        <v>80</v>
      </c>
      <c r="D4147" s="5" t="s">
        <v>81</v>
      </c>
      <c r="E4147" s="5" t="s">
        <v>391</v>
      </c>
      <c r="F4147" s="9">
        <v>61</v>
      </c>
      <c r="G4147" s="9">
        <v>668</v>
      </c>
      <c r="H4147" s="5" t="s">
        <v>21</v>
      </c>
      <c r="I4147" s="5" t="s">
        <v>10380</v>
      </c>
      <c r="J4147" s="12" t="str">
        <f>HYPERLINK("https://www.boe.es/gazeta/dias/1803/08/02/pdfs/GMD-1803-61.pdf#page=8","Abrir facsímil")</f>
        <v>Abrir facsímil</v>
      </c>
      <c r="K4147" s="15" t="s">
        <v>23</v>
      </c>
    </row>
    <row r="4148" spans="1:11" ht="42" customHeight="1">
      <c r="A4148" s="4" t="s">
        <v>10381</v>
      </c>
      <c r="B4148" s="5" t="s">
        <v>10382</v>
      </c>
      <c r="C4148" s="5" t="s">
        <v>26</v>
      </c>
      <c r="D4148" s="5" t="s">
        <v>27</v>
      </c>
      <c r="E4148" s="5" t="s">
        <v>417</v>
      </c>
      <c r="F4148" s="9">
        <v>72</v>
      </c>
      <c r="G4148" s="9">
        <v>787</v>
      </c>
      <c r="H4148" s="5" t="s">
        <v>21</v>
      </c>
      <c r="I4148" s="5" t="s">
        <v>10383</v>
      </c>
      <c r="J4148" s="12" t="str">
        <f>HYPERLINK("https://www.boe.es/gazeta/dias/1803/09/09/pdfs/GMD-1803-72.pdf#page=7","Abrir facsímil")</f>
        <v>Abrir facsímil</v>
      </c>
      <c r="K4148" s="15" t="s">
        <v>23</v>
      </c>
    </row>
    <row r="4149" spans="1:11" ht="42" customHeight="1">
      <c r="A4149" s="4" t="s">
        <v>10384</v>
      </c>
      <c r="B4149" s="5" t="s">
        <v>10384</v>
      </c>
      <c r="C4149" s="5" t="s">
        <v>40</v>
      </c>
      <c r="D4149" s="5" t="s">
        <v>41</v>
      </c>
      <c r="E4149" s="5" t="s">
        <v>477</v>
      </c>
      <c r="F4149" s="9">
        <v>48</v>
      </c>
      <c r="G4149" s="9">
        <v>506</v>
      </c>
      <c r="H4149" s="5" t="s">
        <v>21</v>
      </c>
      <c r="I4149" s="5" t="s">
        <v>10385</v>
      </c>
      <c r="J4149" s="12" t="str">
        <f>HYPERLINK("https://www.boe.es/gazeta/dias/1803/06/17/pdfs/GMD-1803-48.pdf#page=6","Abrir facsímil")</f>
        <v>Abrir facsímil</v>
      </c>
      <c r="K4149" s="15" t="s">
        <v>23</v>
      </c>
    </row>
    <row r="4150" spans="1:11" ht="42" customHeight="1">
      <c r="A4150" s="4" t="s">
        <v>10386</v>
      </c>
      <c r="B4150" s="5" t="s">
        <v>10386</v>
      </c>
      <c r="C4150" s="5" t="s">
        <v>40</v>
      </c>
      <c r="D4150" s="5" t="s">
        <v>41</v>
      </c>
      <c r="E4150" s="5" t="s">
        <v>85</v>
      </c>
      <c r="F4150" s="9">
        <v>49</v>
      </c>
      <c r="G4150" s="9">
        <v>515</v>
      </c>
      <c r="H4150" s="5" t="s">
        <v>21</v>
      </c>
      <c r="I4150" s="5" t="s">
        <v>10387</v>
      </c>
      <c r="J4150" s="12" t="str">
        <f>HYPERLINK("https://www.boe.es/gazeta/dias/1803/06/21/pdfs/GMD-1803-49.pdf#page=3","Abrir facsímil")</f>
        <v>Abrir facsímil</v>
      </c>
      <c r="K4150" s="15" t="s">
        <v>23</v>
      </c>
    </row>
    <row r="4151" spans="1:11" ht="42" customHeight="1">
      <c r="A4151" s="4" t="s">
        <v>10388</v>
      </c>
      <c r="B4151" s="5" t="s">
        <v>10388</v>
      </c>
      <c r="C4151" s="5" t="s">
        <v>51</v>
      </c>
      <c r="D4151" s="5" t="s">
        <v>52</v>
      </c>
      <c r="E4151" s="5" t="s">
        <v>391</v>
      </c>
      <c r="F4151" s="9">
        <v>61</v>
      </c>
      <c r="G4151" s="9">
        <v>665</v>
      </c>
      <c r="H4151" s="5" t="s">
        <v>21</v>
      </c>
      <c r="I4151" s="5" t="s">
        <v>10389</v>
      </c>
      <c r="J4151" s="12" t="str">
        <f>HYPERLINK("https://www.boe.es/gazeta/dias/1803/08/02/pdfs/GMD-1803-61.pdf#page=5","Abrir facsímil")</f>
        <v>Abrir facsímil</v>
      </c>
      <c r="K4151" s="15" t="s">
        <v>23</v>
      </c>
    </row>
    <row r="4152" spans="1:11" ht="42" customHeight="1">
      <c r="A4152" s="4" t="s">
        <v>10390</v>
      </c>
      <c r="B4152" s="5" t="s">
        <v>10391</v>
      </c>
      <c r="C4152" s="5" t="s">
        <v>46</v>
      </c>
      <c r="D4152" s="5" t="s">
        <v>19</v>
      </c>
      <c r="E4152" s="5" t="s">
        <v>1915</v>
      </c>
      <c r="F4152" s="9">
        <v>44</v>
      </c>
      <c r="G4152" s="9">
        <v>453</v>
      </c>
      <c r="H4152" s="5" t="s">
        <v>21</v>
      </c>
      <c r="I4152" s="5" t="s">
        <v>10392</v>
      </c>
      <c r="J4152" s="12" t="str">
        <f>HYPERLINK("https://www.boe.es/gazeta/dias/1803/06/03/pdfs/GMD-1803-44.pdf#page=1","Abrir facsímil")</f>
        <v>Abrir facsímil</v>
      </c>
      <c r="K4152" s="15" t="s">
        <v>23</v>
      </c>
    </row>
    <row r="4153" spans="1:11" ht="42" customHeight="1">
      <c r="A4153" s="4" t="s">
        <v>10393</v>
      </c>
      <c r="B4153" s="5" t="s">
        <v>10394</v>
      </c>
      <c r="C4153" s="5" t="s">
        <v>40</v>
      </c>
      <c r="D4153" s="5" t="s">
        <v>41</v>
      </c>
      <c r="E4153" s="5" t="s">
        <v>207</v>
      </c>
      <c r="F4153" s="9">
        <v>27</v>
      </c>
      <c r="G4153" s="9">
        <v>287</v>
      </c>
      <c r="H4153" s="5" t="s">
        <v>21</v>
      </c>
      <c r="I4153" s="5" t="s">
        <v>10395</v>
      </c>
      <c r="J4153" s="12" t="str">
        <f>HYPERLINK("https://www.boe.es/gazeta/dias/1803/04/05/pdfs/GMD-1803-27.pdf#page=3","Abrir facsímil")</f>
        <v>Abrir facsímil</v>
      </c>
      <c r="K4153" s="15" t="s">
        <v>23</v>
      </c>
    </row>
    <row r="4154" spans="1:11" ht="42" customHeight="1">
      <c r="A4154" s="4" t="s">
        <v>10393</v>
      </c>
      <c r="B4154" s="5" t="s">
        <v>10394</v>
      </c>
      <c r="C4154" s="5" t="s">
        <v>40</v>
      </c>
      <c r="D4154" s="5" t="s">
        <v>41</v>
      </c>
      <c r="E4154" s="5" t="s">
        <v>207</v>
      </c>
      <c r="F4154" s="9">
        <v>27</v>
      </c>
      <c r="G4154" s="9">
        <v>288</v>
      </c>
      <c r="H4154" s="5" t="s">
        <v>21</v>
      </c>
      <c r="I4154" s="5" t="s">
        <v>10396</v>
      </c>
      <c r="J4154" s="12" t="str">
        <f>HYPERLINK("https://www.boe.es/gazeta/dias/1803/04/05/pdfs/GMD-1803-27.pdf#page=4","Abrir facsímil")</f>
        <v>Abrir facsímil</v>
      </c>
      <c r="K4154" s="15" t="s">
        <v>23</v>
      </c>
    </row>
    <row r="4155" spans="1:11" ht="42" customHeight="1">
      <c r="A4155" s="4" t="s">
        <v>10397</v>
      </c>
      <c r="B4155" s="5" t="s">
        <v>10397</v>
      </c>
      <c r="C4155" s="5" t="s">
        <v>26</v>
      </c>
      <c r="D4155" s="5" t="s">
        <v>27</v>
      </c>
      <c r="E4155" s="5" t="s">
        <v>523</v>
      </c>
      <c r="F4155" s="9">
        <v>101</v>
      </c>
      <c r="G4155" s="9">
        <v>1087</v>
      </c>
      <c r="H4155" s="5" t="s">
        <v>21</v>
      </c>
      <c r="I4155" s="5" t="s">
        <v>10398</v>
      </c>
      <c r="J4155" s="12" t="str">
        <f>HYPERLINK("https://www.boe.es/gazeta/dias/1803/12/16/pdfs/GMD-1803-101.pdf#page=11","Abrir facsímil")</f>
        <v>Abrir facsímil</v>
      </c>
      <c r="K4155" s="15" t="s">
        <v>23</v>
      </c>
    </row>
    <row r="4156" spans="1:11" ht="42" customHeight="1">
      <c r="A4156" s="4" t="s">
        <v>10399</v>
      </c>
      <c r="B4156" s="5" t="s">
        <v>10400</v>
      </c>
      <c r="C4156" s="5" t="s">
        <v>26</v>
      </c>
      <c r="D4156" s="5" t="s">
        <v>27</v>
      </c>
      <c r="E4156" s="5" t="s">
        <v>109</v>
      </c>
      <c r="F4156" s="9">
        <v>102</v>
      </c>
      <c r="G4156" s="9">
        <v>1098</v>
      </c>
      <c r="H4156" s="5" t="s">
        <v>21</v>
      </c>
      <c r="I4156" s="5" t="s">
        <v>10401</v>
      </c>
      <c r="J4156" s="12" t="str">
        <f>HYPERLINK("https://www.boe.es/gazeta/dias/1803/12/20/pdfs/GMD-1803-102.pdf#page=10","Abrir facsímil")</f>
        <v>Abrir facsímil</v>
      </c>
      <c r="K4156" s="15" t="s">
        <v>23</v>
      </c>
    </row>
    <row r="4157" spans="1:11" ht="42" customHeight="1">
      <c r="A4157" s="4" t="s">
        <v>10402</v>
      </c>
      <c r="B4157" s="5" t="s">
        <v>10402</v>
      </c>
      <c r="C4157" s="5" t="s">
        <v>40</v>
      </c>
      <c r="D4157" s="5" t="s">
        <v>41</v>
      </c>
      <c r="E4157" s="5" t="s">
        <v>619</v>
      </c>
      <c r="F4157" s="9">
        <v>53</v>
      </c>
      <c r="G4157" s="9">
        <v>572</v>
      </c>
      <c r="H4157" s="5" t="s">
        <v>21</v>
      </c>
      <c r="I4157" s="5" t="s">
        <v>10403</v>
      </c>
      <c r="J4157" s="12" t="str">
        <f>HYPERLINK("https://www.boe.es/gazeta/dias/1803/07/05/pdfs/GMD-1803-53.pdf#page=4","Abrir facsímil")</f>
        <v>Abrir facsímil</v>
      </c>
      <c r="K4157" s="15" t="s">
        <v>23</v>
      </c>
    </row>
    <row r="4158" spans="1:11" ht="42" customHeight="1">
      <c r="A4158" s="4" t="s">
        <v>10404</v>
      </c>
      <c r="B4158" s="5" t="s">
        <v>10405</v>
      </c>
      <c r="C4158" s="5" t="s">
        <v>18</v>
      </c>
      <c r="D4158" s="5" t="s">
        <v>19</v>
      </c>
      <c r="E4158" s="5" t="s">
        <v>361</v>
      </c>
      <c r="F4158" s="9">
        <v>62</v>
      </c>
      <c r="G4158" s="9">
        <v>675</v>
      </c>
      <c r="H4158" s="5" t="s">
        <v>21</v>
      </c>
      <c r="I4158" s="5" t="s">
        <v>10406</v>
      </c>
      <c r="J4158" s="12" t="str">
        <f>HYPERLINK("https://www.boe.es/gazeta/dias/1803/08/05/pdfs/GMD-1803-62.pdf#page=7","Abrir facsímil")</f>
        <v>Abrir facsímil</v>
      </c>
      <c r="K4158" s="15" t="s">
        <v>23</v>
      </c>
    </row>
    <row r="4159" spans="1:11" ht="42" customHeight="1">
      <c r="A4159" s="4" t="s">
        <v>10407</v>
      </c>
      <c r="B4159" s="5" t="s">
        <v>10408</v>
      </c>
      <c r="C4159" s="5" t="s">
        <v>26</v>
      </c>
      <c r="D4159" s="5" t="s">
        <v>27</v>
      </c>
      <c r="E4159" s="5" t="s">
        <v>361</v>
      </c>
      <c r="F4159" s="9">
        <v>62</v>
      </c>
      <c r="G4159" s="9">
        <v>675</v>
      </c>
      <c r="H4159" s="5" t="s">
        <v>21</v>
      </c>
      <c r="I4159" s="5" t="s">
        <v>10409</v>
      </c>
      <c r="J4159" s="12" t="str">
        <f>HYPERLINK("https://www.boe.es/gazeta/dias/1803/08/05/pdfs/GMD-1803-62.pdf#page=7","Abrir facsímil")</f>
        <v>Abrir facsímil</v>
      </c>
      <c r="K4159" s="15" t="s">
        <v>23</v>
      </c>
    </row>
    <row r="4160" spans="1:11" ht="42" customHeight="1">
      <c r="A4160" s="4" t="s">
        <v>10410</v>
      </c>
      <c r="B4160" s="5" t="s">
        <v>10411</v>
      </c>
      <c r="C4160" s="5" t="s">
        <v>80</v>
      </c>
      <c r="D4160" s="5" t="s">
        <v>81</v>
      </c>
      <c r="E4160" s="5" t="s">
        <v>336</v>
      </c>
      <c r="F4160" s="9">
        <v>105</v>
      </c>
      <c r="G4160" s="9">
        <v>1124</v>
      </c>
      <c r="H4160" s="5" t="s">
        <v>21</v>
      </c>
      <c r="I4160" s="5" t="s">
        <v>10412</v>
      </c>
      <c r="J4160" s="12" t="str">
        <f>HYPERLINK("https://www.boe.es/gazeta/dias/1803/12/30/pdfs/GMD-1803-105.pdf#page=8","Abrir facsímil")</f>
        <v>Abrir facsímil</v>
      </c>
      <c r="K4160" s="15" t="s">
        <v>23</v>
      </c>
    </row>
    <row r="4161" spans="1:11" ht="42" customHeight="1">
      <c r="A4161" s="4" t="s">
        <v>10413</v>
      </c>
      <c r="B4161" s="5" t="s">
        <v>10414</v>
      </c>
      <c r="C4161" s="5" t="s">
        <v>26</v>
      </c>
      <c r="D4161" s="5" t="s">
        <v>27</v>
      </c>
      <c r="E4161" s="5" t="s">
        <v>71</v>
      </c>
      <c r="F4161" s="9">
        <v>39</v>
      </c>
      <c r="G4161" s="9">
        <v>412</v>
      </c>
      <c r="H4161" s="5" t="s">
        <v>21</v>
      </c>
      <c r="I4161" s="5" t="s">
        <v>10415</v>
      </c>
      <c r="J4161" s="12" t="str">
        <f>HYPERLINK("https://www.boe.es/gazeta/dias/1803/05/17/pdfs/GMD-1803-39.pdf#page=8","Abrir facsímil")</f>
        <v>Abrir facsímil</v>
      </c>
      <c r="K4161" s="15" t="s">
        <v>23</v>
      </c>
    </row>
    <row r="4162" spans="1:11" ht="42" customHeight="1">
      <c r="A4162" s="4" t="s">
        <v>10416</v>
      </c>
      <c r="B4162" s="5" t="s">
        <v>10417</v>
      </c>
      <c r="C4162" s="5" t="s">
        <v>40</v>
      </c>
      <c r="D4162" s="5" t="s">
        <v>41</v>
      </c>
      <c r="E4162" s="5" t="s">
        <v>303</v>
      </c>
      <c r="F4162" s="9">
        <v>8</v>
      </c>
      <c r="G4162" s="9">
        <v>76</v>
      </c>
      <c r="H4162" s="5" t="s">
        <v>21</v>
      </c>
      <c r="I4162" s="5" t="s">
        <v>10418</v>
      </c>
      <c r="J4162" s="12" t="str">
        <f>HYPERLINK("https://www.boe.es/gazeta/dias/1803/01/28/pdfs/GMD-1803-8.pdf#page=4","Abrir facsímil")</f>
        <v>Abrir facsímil</v>
      </c>
      <c r="K4162" s="15" t="s">
        <v>23</v>
      </c>
    </row>
    <row r="4163" spans="1:11" ht="42" customHeight="1">
      <c r="A4163" s="4" t="s">
        <v>10416</v>
      </c>
      <c r="B4163" s="5" t="s">
        <v>10417</v>
      </c>
      <c r="C4163" s="5" t="s">
        <v>26</v>
      </c>
      <c r="D4163" s="5" t="s">
        <v>27</v>
      </c>
      <c r="E4163" s="5" t="s">
        <v>340</v>
      </c>
      <c r="F4163" s="9">
        <v>55</v>
      </c>
      <c r="G4163" s="9">
        <v>599</v>
      </c>
      <c r="H4163" s="5" t="s">
        <v>21</v>
      </c>
      <c r="I4163" s="5" t="s">
        <v>10419</v>
      </c>
      <c r="J4163" s="12" t="str">
        <f>HYPERLINK("https://www.boe.es/gazeta/dias/1803/07/12/pdfs/GMD-1803-55.pdf#page=7","Abrir facsímil")</f>
        <v>Abrir facsímil</v>
      </c>
      <c r="K4163" s="15" t="s">
        <v>23</v>
      </c>
    </row>
    <row r="4164" spans="1:11" ht="42" customHeight="1">
      <c r="A4164" s="4" t="s">
        <v>10416</v>
      </c>
      <c r="B4164" s="5" t="s">
        <v>10417</v>
      </c>
      <c r="C4164" s="5" t="s">
        <v>40</v>
      </c>
      <c r="D4164" s="5" t="s">
        <v>41</v>
      </c>
      <c r="E4164" s="5" t="s">
        <v>75</v>
      </c>
      <c r="F4164" s="9">
        <v>56</v>
      </c>
      <c r="G4164" s="9">
        <v>606</v>
      </c>
      <c r="H4164" s="5" t="s">
        <v>21</v>
      </c>
      <c r="I4164" s="5" t="s">
        <v>10420</v>
      </c>
      <c r="J4164" s="12" t="str">
        <f>HYPERLINK("https://www.boe.es/gazeta/dias/1803/07/15/pdfs/GMD-1803-56.pdf#page=2","Abrir facsímil")</f>
        <v>Abrir facsímil</v>
      </c>
      <c r="K4164" s="15" t="s">
        <v>23</v>
      </c>
    </row>
    <row r="4165" spans="1:11" ht="42" customHeight="1">
      <c r="A4165" s="4" t="s">
        <v>10421</v>
      </c>
      <c r="B4165" s="5" t="s">
        <v>10422</v>
      </c>
      <c r="C4165" s="5" t="s">
        <v>26</v>
      </c>
      <c r="D4165" s="5" t="s">
        <v>27</v>
      </c>
      <c r="E4165" s="5" t="s">
        <v>211</v>
      </c>
      <c r="F4165" s="9">
        <v>71</v>
      </c>
      <c r="G4165" s="9">
        <v>777</v>
      </c>
      <c r="H4165" s="5" t="s">
        <v>21</v>
      </c>
      <c r="I4165" s="5" t="s">
        <v>10423</v>
      </c>
      <c r="J4165" s="12" t="str">
        <f>HYPERLINK("https://www.boe.es/gazeta/dias/1803/09/06/pdfs/GMD-1803-71.pdf#page=9","Abrir facsímil")</f>
        <v>Abrir facsímil</v>
      </c>
      <c r="K4165" s="15" t="s">
        <v>23</v>
      </c>
    </row>
    <row r="4166" spans="1:11" ht="42" customHeight="1">
      <c r="A4166" s="4" t="s">
        <v>10424</v>
      </c>
      <c r="B4166" s="5" t="s">
        <v>10425</v>
      </c>
      <c r="C4166" s="5" t="s">
        <v>26</v>
      </c>
      <c r="D4166" s="5" t="s">
        <v>27</v>
      </c>
      <c r="E4166" s="5" t="s">
        <v>919</v>
      </c>
      <c r="F4166" s="9">
        <v>69</v>
      </c>
      <c r="G4166" s="9">
        <v>746</v>
      </c>
      <c r="H4166" s="5" t="s">
        <v>21</v>
      </c>
      <c r="I4166" s="5" t="s">
        <v>10426</v>
      </c>
      <c r="J4166" s="12" t="str">
        <f>HYPERLINK("https://www.boe.es/gazeta/dias/1803/08/30/pdfs/GMD-1803-69.pdf#page=2","Abrir facsímil")</f>
        <v>Abrir facsímil</v>
      </c>
      <c r="K4166" s="15" t="s">
        <v>23</v>
      </c>
    </row>
    <row r="4167" spans="1:11" ht="42" customHeight="1">
      <c r="A4167" s="4" t="s">
        <v>10427</v>
      </c>
      <c r="B4167" s="5" t="s">
        <v>10428</v>
      </c>
      <c r="C4167" s="5" t="s">
        <v>26</v>
      </c>
      <c r="D4167" s="5" t="s">
        <v>27</v>
      </c>
      <c r="E4167" s="5" t="s">
        <v>373</v>
      </c>
      <c r="F4167" s="9">
        <v>77</v>
      </c>
      <c r="G4167" s="9">
        <v>829</v>
      </c>
      <c r="H4167" s="5" t="s">
        <v>21</v>
      </c>
      <c r="I4167" s="5" t="s">
        <v>10429</v>
      </c>
      <c r="J4167" s="12" t="str">
        <f>HYPERLINK("https://www.boe.es/gazeta/dias/1803/09/23/pdfs/GMD-1803-77.pdf#page=5","Abrir facsímil")</f>
        <v>Abrir facsímil</v>
      </c>
      <c r="K4167" s="15" t="s">
        <v>23</v>
      </c>
    </row>
    <row r="4168" spans="1:11" ht="42" customHeight="1">
      <c r="A4168" s="4" t="s">
        <v>10427</v>
      </c>
      <c r="B4168" s="5" t="s">
        <v>10428</v>
      </c>
      <c r="C4168" s="5" t="s">
        <v>26</v>
      </c>
      <c r="D4168" s="5" t="s">
        <v>27</v>
      </c>
      <c r="E4168" s="5" t="s">
        <v>784</v>
      </c>
      <c r="F4168" s="9">
        <v>86</v>
      </c>
      <c r="G4168" s="9">
        <v>926</v>
      </c>
      <c r="H4168" s="5" t="s">
        <v>21</v>
      </c>
      <c r="I4168" s="5" t="s">
        <v>10430</v>
      </c>
      <c r="J4168" s="12" t="str">
        <f>HYPERLINK("https://www.boe.es/gazeta/dias/1803/10/25/pdfs/GMD-1803-86.pdf#page=6","Abrir facsímil")</f>
        <v>Abrir facsímil</v>
      </c>
      <c r="K4168" s="15" t="s">
        <v>23</v>
      </c>
    </row>
    <row r="4169" spans="1:11" ht="42" customHeight="1">
      <c r="A4169" s="4" t="s">
        <v>10431</v>
      </c>
      <c r="B4169" s="5" t="s">
        <v>10431</v>
      </c>
      <c r="C4169" s="5" t="s">
        <v>80</v>
      </c>
      <c r="D4169" s="5" t="s">
        <v>81</v>
      </c>
      <c r="E4169" s="5" t="s">
        <v>395</v>
      </c>
      <c r="F4169" s="9">
        <v>13</v>
      </c>
      <c r="G4169" s="9">
        <v>136</v>
      </c>
      <c r="H4169" s="5" t="s">
        <v>21</v>
      </c>
      <c r="I4169" s="5" t="s">
        <v>10432</v>
      </c>
      <c r="J4169" s="12" t="str">
        <f>HYPERLINK("https://www.boe.es/gazeta/dias/1803/02/15/pdfs/GMD-1803-13.pdf#page=12","Abrir facsímil")</f>
        <v>Abrir facsímil</v>
      </c>
      <c r="K4169" s="15" t="s">
        <v>23</v>
      </c>
    </row>
    <row r="4170" spans="1:11" ht="42" customHeight="1">
      <c r="A4170" s="4" t="s">
        <v>10433</v>
      </c>
      <c r="B4170" s="5" t="s">
        <v>10433</v>
      </c>
      <c r="C4170" s="5" t="s">
        <v>80</v>
      </c>
      <c r="D4170" s="5" t="s">
        <v>81</v>
      </c>
      <c r="E4170" s="5" t="s">
        <v>231</v>
      </c>
      <c r="F4170" s="9">
        <v>26</v>
      </c>
      <c r="G4170" s="9">
        <v>284</v>
      </c>
      <c r="H4170" s="5" t="s">
        <v>21</v>
      </c>
      <c r="I4170" s="5" t="s">
        <v>10434</v>
      </c>
      <c r="J4170" s="12" t="str">
        <f>HYPERLINK("https://www.boe.es/gazeta/dias/1803/04/01/pdfs/GMD-1803-26.pdf#page=12","Abrir facsímil")</f>
        <v>Abrir facsímil</v>
      </c>
      <c r="K4170" s="15" t="s">
        <v>23</v>
      </c>
    </row>
    <row r="4171" spans="1:11" ht="42" customHeight="1">
      <c r="A4171" s="4" t="s">
        <v>10433</v>
      </c>
      <c r="B4171" s="5" t="s">
        <v>10433</v>
      </c>
      <c r="C4171" s="5" t="s">
        <v>80</v>
      </c>
      <c r="D4171" s="5" t="s">
        <v>81</v>
      </c>
      <c r="E4171" s="5" t="s">
        <v>389</v>
      </c>
      <c r="F4171" s="9">
        <v>41</v>
      </c>
      <c r="G4171" s="9">
        <v>432</v>
      </c>
      <c r="H4171" s="5" t="s">
        <v>21</v>
      </c>
      <c r="I4171" s="5" t="s">
        <v>10435</v>
      </c>
      <c r="J4171" s="12" t="str">
        <f>HYPERLINK("https://www.boe.es/gazeta/dias/1803/05/24/pdfs/GMD-1803-41.pdf#page=8","Abrir facsímil")</f>
        <v>Abrir facsímil</v>
      </c>
      <c r="K4171" s="15" t="s">
        <v>23</v>
      </c>
    </row>
    <row r="4172" spans="1:11" ht="42" customHeight="1">
      <c r="A4172" s="4" t="s">
        <v>10436</v>
      </c>
      <c r="B4172" s="5" t="s">
        <v>10436</v>
      </c>
      <c r="C4172" s="5" t="s">
        <v>51</v>
      </c>
      <c r="D4172" s="5" t="s">
        <v>52</v>
      </c>
      <c r="E4172" s="5" t="s">
        <v>317</v>
      </c>
      <c r="F4172" s="9">
        <v>12</v>
      </c>
      <c r="G4172" s="9">
        <v>124</v>
      </c>
      <c r="H4172" s="5" t="s">
        <v>21</v>
      </c>
      <c r="I4172" s="5" t="s">
        <v>10437</v>
      </c>
      <c r="J4172" s="12" t="str">
        <f>HYPERLINK("https://www.boe.es/gazeta/dias/1803/02/11/pdfs/GMD-1803-12.pdf#page=12","Abrir facsímil")</f>
        <v>Abrir facsímil</v>
      </c>
      <c r="K4172" s="15" t="s">
        <v>23</v>
      </c>
    </row>
    <row r="4173" spans="1:11" ht="42" customHeight="1">
      <c r="A4173" s="4" t="s">
        <v>10438</v>
      </c>
      <c r="B4173" s="5" t="s">
        <v>10438</v>
      </c>
      <c r="C4173" s="5" t="s">
        <v>26</v>
      </c>
      <c r="D4173" s="5" t="s">
        <v>27</v>
      </c>
      <c r="E4173" s="5" t="s">
        <v>258</v>
      </c>
      <c r="F4173" s="9">
        <v>7</v>
      </c>
      <c r="G4173" s="9">
        <v>72</v>
      </c>
      <c r="H4173" s="5" t="s">
        <v>21</v>
      </c>
      <c r="I4173" s="5" t="s">
        <v>10439</v>
      </c>
      <c r="J4173" s="12" t="str">
        <f>HYPERLINK("https://www.boe.es/gazeta/dias/1803/01/25/pdfs/GMD-1803-7.pdf#page=12","Abrir facsímil")</f>
        <v>Abrir facsímil</v>
      </c>
      <c r="K4173" s="15" t="s">
        <v>23</v>
      </c>
    </row>
    <row r="4174" spans="1:11" ht="42" customHeight="1">
      <c r="A4174" s="4" t="s">
        <v>10440</v>
      </c>
      <c r="B4174" s="5" t="s">
        <v>10441</v>
      </c>
      <c r="C4174" s="5" t="s">
        <v>40</v>
      </c>
      <c r="D4174" s="5" t="s">
        <v>41</v>
      </c>
      <c r="E4174" s="5" t="s">
        <v>203</v>
      </c>
      <c r="F4174" s="9">
        <v>32</v>
      </c>
      <c r="G4174" s="9">
        <v>329</v>
      </c>
      <c r="H4174" s="5" t="s">
        <v>21</v>
      </c>
      <c r="I4174" s="5" t="s">
        <v>10442</v>
      </c>
      <c r="J4174" s="12" t="str">
        <f>HYPERLINK("https://www.boe.es/gazeta/dias/1803/04/22/pdfs/GMD-1803-32.pdf#page=1","Abrir facsímil")</f>
        <v>Abrir facsímil</v>
      </c>
      <c r="K4174" s="15" t="s">
        <v>23</v>
      </c>
    </row>
    <row r="4175" spans="1:11" ht="42" customHeight="1">
      <c r="A4175" s="4" t="s">
        <v>10443</v>
      </c>
      <c r="B4175" s="5" t="s">
        <v>10443</v>
      </c>
      <c r="C4175" s="5" t="s">
        <v>26</v>
      </c>
      <c r="D4175" s="5" t="s">
        <v>27</v>
      </c>
      <c r="E4175" s="5" t="s">
        <v>191</v>
      </c>
      <c r="F4175" s="9">
        <v>34</v>
      </c>
      <c r="G4175" s="9">
        <v>358</v>
      </c>
      <c r="H4175" s="5" t="s">
        <v>21</v>
      </c>
      <c r="I4175" s="5" t="s">
        <v>10444</v>
      </c>
      <c r="J4175" s="12" t="str">
        <f>HYPERLINK("https://www.boe.es/gazeta/dias/1803/04/29/pdfs/GMD-1803-34.pdf#page=6","Abrir facsímil")</f>
        <v>Abrir facsímil</v>
      </c>
      <c r="K4175" s="15" t="s">
        <v>23</v>
      </c>
    </row>
    <row r="4176" spans="1:11" ht="42" customHeight="1">
      <c r="A4176" s="4" t="s">
        <v>10445</v>
      </c>
      <c r="B4176" s="5" t="s">
        <v>10446</v>
      </c>
      <c r="C4176" s="5" t="s">
        <v>80</v>
      </c>
      <c r="D4176" s="5" t="s">
        <v>81</v>
      </c>
      <c r="E4176" s="5" t="s">
        <v>369</v>
      </c>
      <c r="F4176" s="9">
        <v>100</v>
      </c>
      <c r="G4176" s="9">
        <v>1076</v>
      </c>
      <c r="H4176" s="5" t="s">
        <v>21</v>
      </c>
      <c r="I4176" s="5" t="s">
        <v>10447</v>
      </c>
      <c r="J4176" s="12" t="str">
        <f>HYPERLINK("https://www.boe.es/gazeta/dias/1803/12/13/pdfs/GMD-1803-100.pdf#page=12","Abrir facsímil")</f>
        <v>Abrir facsímil</v>
      </c>
      <c r="K4176" s="15" t="s">
        <v>23</v>
      </c>
    </row>
    <row r="4177" spans="1:11" ht="42" customHeight="1">
      <c r="A4177" s="4" t="s">
        <v>10448</v>
      </c>
      <c r="B4177" s="5" t="s">
        <v>10449</v>
      </c>
      <c r="C4177" s="5" t="s">
        <v>40</v>
      </c>
      <c r="D4177" s="5" t="s">
        <v>41</v>
      </c>
      <c r="E4177" s="5" t="s">
        <v>75</v>
      </c>
      <c r="F4177" s="9">
        <v>56</v>
      </c>
      <c r="G4177" s="9">
        <v>610</v>
      </c>
      <c r="H4177" s="5" t="s">
        <v>21</v>
      </c>
      <c r="I4177" s="5" t="s">
        <v>10450</v>
      </c>
      <c r="J4177" s="12" t="str">
        <f>HYPERLINK("https://www.boe.es/gazeta/dias/1803/07/15/pdfs/GMD-1803-56.pdf#page=6","Abrir facsímil")</f>
        <v>Abrir facsímil</v>
      </c>
      <c r="K4177" s="15" t="s">
        <v>23</v>
      </c>
    </row>
    <row r="4178" spans="1:11" ht="42" customHeight="1">
      <c r="A4178" s="4" t="s">
        <v>10451</v>
      </c>
      <c r="B4178" s="5" t="s">
        <v>10452</v>
      </c>
      <c r="C4178" s="5" t="s">
        <v>26</v>
      </c>
      <c r="D4178" s="5" t="s">
        <v>27</v>
      </c>
      <c r="E4178" s="5" t="s">
        <v>496</v>
      </c>
      <c r="F4178" s="9">
        <v>90</v>
      </c>
      <c r="G4178" s="9">
        <v>966</v>
      </c>
      <c r="H4178" s="5" t="s">
        <v>21</v>
      </c>
      <c r="I4178" s="5" t="s">
        <v>10453</v>
      </c>
      <c r="J4178" s="12" t="str">
        <f>HYPERLINK("https://www.boe.es/gazeta/dias/1803/11/08/pdfs/GMD-1803-90.pdf#page=6","Abrir facsímil")</f>
        <v>Abrir facsímil</v>
      </c>
      <c r="K4178" s="15" t="s">
        <v>23</v>
      </c>
    </row>
    <row r="4179" spans="1:11" ht="42" customHeight="1">
      <c r="A4179" s="4" t="s">
        <v>10454</v>
      </c>
      <c r="B4179" s="5" t="s">
        <v>10455</v>
      </c>
      <c r="C4179" s="5" t="s">
        <v>26</v>
      </c>
      <c r="D4179" s="5" t="s">
        <v>27</v>
      </c>
      <c r="E4179" s="5" t="s">
        <v>321</v>
      </c>
      <c r="F4179" s="9">
        <v>94</v>
      </c>
      <c r="G4179" s="9">
        <v>1006</v>
      </c>
      <c r="H4179" s="5" t="s">
        <v>21</v>
      </c>
      <c r="I4179" s="5" t="s">
        <v>10456</v>
      </c>
      <c r="J4179" s="12" t="str">
        <f>HYPERLINK("https://www.boe.es/gazeta/dias/1803/11/22/pdfs/GMD-1803-94.pdf#page=6","Abrir facsímil")</f>
        <v>Abrir facsímil</v>
      </c>
      <c r="K4179" s="15" t="s">
        <v>23</v>
      </c>
    </row>
    <row r="4180" spans="1:11" ht="42" customHeight="1">
      <c r="A4180" s="4" t="s">
        <v>10457</v>
      </c>
      <c r="B4180" s="5" t="s">
        <v>10458</v>
      </c>
      <c r="C4180" s="5" t="s">
        <v>26</v>
      </c>
      <c r="D4180" s="5" t="s">
        <v>27</v>
      </c>
      <c r="E4180" s="5" t="s">
        <v>609</v>
      </c>
      <c r="F4180" s="9">
        <v>57</v>
      </c>
      <c r="G4180" s="9">
        <v>619</v>
      </c>
      <c r="H4180" s="5" t="s">
        <v>21</v>
      </c>
      <c r="I4180" s="5" t="s">
        <v>10459</v>
      </c>
      <c r="J4180" s="12" t="str">
        <f>HYPERLINK("https://www.boe.es/gazeta/dias/1803/07/19/pdfs/GMD-1803-57.pdf#page=7","Abrir facsímil")</f>
        <v>Abrir facsímil</v>
      </c>
      <c r="K4180" s="15" t="s">
        <v>23</v>
      </c>
    </row>
    <row r="4181" spans="1:11" ht="42" customHeight="1">
      <c r="A4181" s="4" t="s">
        <v>10460</v>
      </c>
      <c r="B4181" s="5" t="s">
        <v>10461</v>
      </c>
      <c r="C4181" s="5" t="s">
        <v>40</v>
      </c>
      <c r="D4181" s="5" t="s">
        <v>41</v>
      </c>
      <c r="E4181" s="5" t="s">
        <v>164</v>
      </c>
      <c r="F4181" s="9">
        <v>84</v>
      </c>
      <c r="G4181" s="9">
        <v>902</v>
      </c>
      <c r="H4181" s="5" t="s">
        <v>21</v>
      </c>
      <c r="I4181" s="5" t="s">
        <v>10462</v>
      </c>
      <c r="J4181" s="12" t="str">
        <f>HYPERLINK("https://www.boe.es/gazeta/dias/1803/10/18/pdfs/GMD-1803-84.pdf#page=6","Abrir facsímil")</f>
        <v>Abrir facsímil</v>
      </c>
      <c r="K4181" s="15" t="s">
        <v>23</v>
      </c>
    </row>
    <row r="4182" spans="1:11" ht="42" customHeight="1">
      <c r="A4182" s="4" t="s">
        <v>10463</v>
      </c>
      <c r="B4182" s="5" t="s">
        <v>10464</v>
      </c>
      <c r="C4182" s="5" t="s">
        <v>26</v>
      </c>
      <c r="D4182" s="5" t="s">
        <v>27</v>
      </c>
      <c r="E4182" s="5" t="s">
        <v>152</v>
      </c>
      <c r="F4182" s="9">
        <v>16</v>
      </c>
      <c r="G4182" s="9">
        <v>166</v>
      </c>
      <c r="H4182" s="5" t="s">
        <v>21</v>
      </c>
      <c r="I4182" s="5" t="s">
        <v>10465</v>
      </c>
      <c r="J4182" s="12" t="str">
        <f>HYPERLINK("https://www.boe.es/gazeta/dias/1803/02/25/pdfs/GMD-1803-16.pdf#page=6","Abrir facsímil")</f>
        <v>Abrir facsímil</v>
      </c>
      <c r="K4182" s="15" t="s">
        <v>23</v>
      </c>
    </row>
    <row r="4183" spans="1:11" ht="42" customHeight="1">
      <c r="A4183" s="4" t="s">
        <v>10466</v>
      </c>
      <c r="B4183" s="5" t="s">
        <v>10467</v>
      </c>
      <c r="C4183" s="5" t="s">
        <v>26</v>
      </c>
      <c r="D4183" s="5" t="s">
        <v>27</v>
      </c>
      <c r="E4183" s="5" t="s">
        <v>138</v>
      </c>
      <c r="F4183" s="9">
        <v>68</v>
      </c>
      <c r="G4183" s="9">
        <v>742</v>
      </c>
      <c r="H4183" s="5" t="s">
        <v>21</v>
      </c>
      <c r="I4183" s="5" t="s">
        <v>10468</v>
      </c>
      <c r="J4183" s="12" t="str">
        <f>HYPERLINK("https://www.boe.es/gazeta/dias/1803/08/26/pdfs/GMD-1803-68.pdf#page=10","Abrir facsímil")</f>
        <v>Abrir facsímil</v>
      </c>
      <c r="K4183" s="15" t="s">
        <v>23</v>
      </c>
    </row>
    <row r="4184" spans="1:11" ht="42" customHeight="1">
      <c r="A4184" s="4" t="s">
        <v>10469</v>
      </c>
      <c r="B4184" s="5" t="s">
        <v>10469</v>
      </c>
      <c r="C4184" s="5" t="s">
        <v>40</v>
      </c>
      <c r="D4184" s="5" t="s">
        <v>41</v>
      </c>
      <c r="E4184" s="5" t="s">
        <v>496</v>
      </c>
      <c r="F4184" s="9">
        <v>90</v>
      </c>
      <c r="G4184" s="9">
        <v>961</v>
      </c>
      <c r="H4184" s="5" t="s">
        <v>21</v>
      </c>
      <c r="I4184" s="5" t="s">
        <v>10470</v>
      </c>
      <c r="J4184" s="12" t="str">
        <f>HYPERLINK("https://www.boe.es/gazeta/dias/1803/11/08/pdfs/GMD-1803-90.pdf#page=1","Abrir facsímil")</f>
        <v>Abrir facsímil</v>
      </c>
      <c r="K4184" s="15" t="s">
        <v>23</v>
      </c>
    </row>
    <row r="4185" spans="1:11" ht="42" customHeight="1">
      <c r="A4185" s="4" t="s">
        <v>10471</v>
      </c>
      <c r="B4185" s="5" t="s">
        <v>10471</v>
      </c>
      <c r="C4185" s="5" t="s">
        <v>40</v>
      </c>
      <c r="D4185" s="5" t="s">
        <v>41</v>
      </c>
      <c r="E4185" s="5" t="s">
        <v>795</v>
      </c>
      <c r="F4185" s="9">
        <v>98</v>
      </c>
      <c r="G4185" s="9">
        <v>1047</v>
      </c>
      <c r="H4185" s="5" t="s">
        <v>21</v>
      </c>
      <c r="I4185" s="5" t="s">
        <v>10472</v>
      </c>
      <c r="J4185" s="12" t="str">
        <f>HYPERLINK("https://www.boe.es/gazeta/dias/1803/12/06/pdfs/GMD-1803-98.pdf#page=3","Abrir facsímil")</f>
        <v>Abrir facsímil</v>
      </c>
      <c r="K4185" s="15" t="s">
        <v>23</v>
      </c>
    </row>
    <row r="4186" spans="1:11" ht="42" customHeight="1">
      <c r="A4186" s="4" t="s">
        <v>10473</v>
      </c>
      <c r="B4186" s="5" t="s">
        <v>10473</v>
      </c>
      <c r="C4186" s="5" t="s">
        <v>51</v>
      </c>
      <c r="D4186" s="5" t="s">
        <v>52</v>
      </c>
      <c r="E4186" s="5" t="s">
        <v>102</v>
      </c>
      <c r="F4186" s="9">
        <v>31</v>
      </c>
      <c r="G4186" s="9">
        <v>326</v>
      </c>
      <c r="H4186" s="5" t="s">
        <v>21</v>
      </c>
      <c r="I4186" s="5" t="s">
        <v>10474</v>
      </c>
      <c r="J4186" s="12" t="str">
        <f>HYPERLINK("https://www.boe.es/gazeta/dias/1803/04/19/pdfs/GMD-1803-31.pdf#page=6","Abrir facsímil")</f>
        <v>Abrir facsímil</v>
      </c>
      <c r="K4186" s="15" t="s">
        <v>23</v>
      </c>
    </row>
    <row r="4187" spans="1:11" ht="42" customHeight="1">
      <c r="A4187" s="4" t="s">
        <v>10475</v>
      </c>
      <c r="B4187" s="5" t="s">
        <v>10475</v>
      </c>
      <c r="C4187" s="5" t="s">
        <v>26</v>
      </c>
      <c r="D4187" s="5" t="s">
        <v>27</v>
      </c>
      <c r="E4187" s="5" t="s">
        <v>102</v>
      </c>
      <c r="F4187" s="9">
        <v>31</v>
      </c>
      <c r="G4187" s="9">
        <v>325</v>
      </c>
      <c r="H4187" s="5" t="s">
        <v>21</v>
      </c>
      <c r="I4187" s="5" t="s">
        <v>10476</v>
      </c>
      <c r="J4187" s="12" t="str">
        <f>HYPERLINK("https://www.boe.es/gazeta/dias/1803/04/19/pdfs/GMD-1803-31.pdf#page=5","Abrir facsímil")</f>
        <v>Abrir facsímil</v>
      </c>
      <c r="K4187" s="15" t="s">
        <v>23</v>
      </c>
    </row>
    <row r="4188" spans="1:11" ht="42" customHeight="1">
      <c r="A4188" s="4" t="s">
        <v>10477</v>
      </c>
      <c r="B4188" s="5" t="s">
        <v>10477</v>
      </c>
      <c r="C4188" s="5" t="s">
        <v>51</v>
      </c>
      <c r="D4188" s="5" t="s">
        <v>52</v>
      </c>
      <c r="E4188" s="5" t="s">
        <v>102</v>
      </c>
      <c r="F4188" s="9">
        <v>31</v>
      </c>
      <c r="G4188" s="9">
        <v>325</v>
      </c>
      <c r="H4188" s="5" t="s">
        <v>21</v>
      </c>
      <c r="I4188" s="5" t="s">
        <v>10478</v>
      </c>
      <c r="J4188" s="12" t="str">
        <f>HYPERLINK("https://www.boe.es/gazeta/dias/1803/04/19/pdfs/GMD-1803-31.pdf#page=5","Abrir facsímil")</f>
        <v>Abrir facsímil</v>
      </c>
      <c r="K4188" s="15" t="s">
        <v>23</v>
      </c>
    </row>
    <row r="4189" spans="1:11" ht="42" customHeight="1">
      <c r="A4189" s="4" t="s">
        <v>10479</v>
      </c>
      <c r="B4189" s="5" t="s">
        <v>10479</v>
      </c>
      <c r="C4189" s="5" t="s">
        <v>26</v>
      </c>
      <c r="D4189" s="5" t="s">
        <v>27</v>
      </c>
      <c r="E4189" s="5" t="s">
        <v>399</v>
      </c>
      <c r="F4189" s="9">
        <v>95</v>
      </c>
      <c r="G4189" s="9">
        <v>1017</v>
      </c>
      <c r="H4189" s="5" t="s">
        <v>21</v>
      </c>
      <c r="I4189" s="5" t="s">
        <v>10480</v>
      </c>
      <c r="J4189" s="12" t="str">
        <f>HYPERLINK("https://www.boe.es/gazeta/dias/1803/11/25/pdfs/GMD-1803-95.pdf#page=5","Abrir facsímil")</f>
        <v>Abrir facsímil</v>
      </c>
      <c r="K4189" s="15" t="s">
        <v>23</v>
      </c>
    </row>
    <row r="4190" spans="1:11" ht="42" customHeight="1">
      <c r="A4190" s="4" t="s">
        <v>10481</v>
      </c>
      <c r="B4190" s="5" t="s">
        <v>10482</v>
      </c>
      <c r="C4190" s="5" t="s">
        <v>26</v>
      </c>
      <c r="D4190" s="5" t="s">
        <v>27</v>
      </c>
      <c r="E4190" s="5" t="s">
        <v>156</v>
      </c>
      <c r="F4190" s="9">
        <v>2</v>
      </c>
      <c r="G4190" s="9">
        <v>15</v>
      </c>
      <c r="H4190" s="5" t="s">
        <v>21</v>
      </c>
      <c r="I4190" s="5" t="s">
        <v>10483</v>
      </c>
      <c r="J4190" s="12" t="str">
        <f>HYPERLINK("https://www.boe.es/gazeta/dias/1803/01/07/pdfs/GMD-1803-2.pdf#page=7","Abrir facsímil")</f>
        <v>Abrir facsímil</v>
      </c>
      <c r="K4190" s="15" t="s">
        <v>23</v>
      </c>
    </row>
    <row r="4191" spans="1:11" ht="42" customHeight="1">
      <c r="A4191" s="4" t="s">
        <v>10484</v>
      </c>
      <c r="B4191" s="5" t="s">
        <v>10485</v>
      </c>
      <c r="C4191" s="5" t="s">
        <v>51</v>
      </c>
      <c r="D4191" s="5" t="s">
        <v>52</v>
      </c>
      <c r="E4191" s="5" t="s">
        <v>109</v>
      </c>
      <c r="F4191" s="9">
        <v>102</v>
      </c>
      <c r="G4191" s="9">
        <v>1096</v>
      </c>
      <c r="H4191" s="5" t="s">
        <v>21</v>
      </c>
      <c r="I4191" s="5" t="s">
        <v>10486</v>
      </c>
      <c r="J4191" s="12" t="str">
        <f>HYPERLINK("https://www.boe.es/gazeta/dias/1803/12/20/pdfs/GMD-1803-102.pdf#page=8","Abrir facsímil")</f>
        <v>Abrir facsímil</v>
      </c>
      <c r="K4191" s="15" t="s">
        <v>23</v>
      </c>
    </row>
    <row r="4192" spans="1:11" ht="42" customHeight="1">
      <c r="A4192" s="4" t="s">
        <v>10487</v>
      </c>
      <c r="B4192" s="5" t="s">
        <v>10487</v>
      </c>
      <c r="C4192" s="5" t="s">
        <v>40</v>
      </c>
      <c r="D4192" s="5" t="s">
        <v>41</v>
      </c>
      <c r="E4192" s="5" t="s">
        <v>328</v>
      </c>
      <c r="F4192" s="9">
        <v>54</v>
      </c>
      <c r="G4192" s="9">
        <v>582</v>
      </c>
      <c r="H4192" s="5" t="s">
        <v>21</v>
      </c>
      <c r="I4192" s="5" t="s">
        <v>10488</v>
      </c>
      <c r="J4192" s="12" t="str">
        <f>HYPERLINK("https://www.boe.es/gazeta/dias/1803/07/08/pdfs/GMD-1803-54.pdf#page=2","Abrir facsímil")</f>
        <v>Abrir facsímil</v>
      </c>
      <c r="K4192" s="15" t="s">
        <v>23</v>
      </c>
    </row>
    <row r="4193" spans="1:11" ht="42" customHeight="1">
      <c r="A4193" s="4" t="s">
        <v>10489</v>
      </c>
      <c r="B4193" s="5" t="s">
        <v>10489</v>
      </c>
      <c r="C4193" s="5" t="s">
        <v>80</v>
      </c>
      <c r="D4193" s="5" t="s">
        <v>81</v>
      </c>
      <c r="E4193" s="5" t="s">
        <v>919</v>
      </c>
      <c r="F4193" s="9">
        <v>69</v>
      </c>
      <c r="G4193" s="9">
        <v>749</v>
      </c>
      <c r="H4193" s="5" t="s">
        <v>21</v>
      </c>
      <c r="I4193" s="5" t="s">
        <v>10490</v>
      </c>
      <c r="J4193" s="12" t="str">
        <f>HYPERLINK("https://www.boe.es/gazeta/dias/1803/08/30/pdfs/GMD-1803-69.pdf#page=5","Abrir facsímil")</f>
        <v>Abrir facsímil</v>
      </c>
      <c r="K4193" s="15" t="s">
        <v>23</v>
      </c>
    </row>
    <row r="4194" spans="1:11" ht="42" customHeight="1">
      <c r="A4194" s="4" t="s">
        <v>10491</v>
      </c>
      <c r="B4194" s="5" t="s">
        <v>10491</v>
      </c>
      <c r="C4194" s="5" t="s">
        <v>26</v>
      </c>
      <c r="D4194" s="5" t="s">
        <v>27</v>
      </c>
      <c r="E4194" s="5" t="s">
        <v>71</v>
      </c>
      <c r="F4194" s="9">
        <v>39</v>
      </c>
      <c r="G4194" s="9">
        <v>413</v>
      </c>
      <c r="H4194" s="5" t="s">
        <v>21</v>
      </c>
      <c r="I4194" s="5" t="s">
        <v>10492</v>
      </c>
      <c r="J4194" s="12" t="str">
        <f>HYPERLINK("https://www.boe.es/gazeta/dias/1803/05/17/pdfs/GMD-1803-39.pdf#page=9","Abrir facsímil")</f>
        <v>Abrir facsímil</v>
      </c>
      <c r="K4194" s="15" t="s">
        <v>23</v>
      </c>
    </row>
    <row r="4195" spans="1:11" ht="42" customHeight="1">
      <c r="A4195" s="4" t="s">
        <v>10493</v>
      </c>
      <c r="B4195" s="5" t="s">
        <v>10493</v>
      </c>
      <c r="C4195" s="5" t="s">
        <v>80</v>
      </c>
      <c r="D4195" s="5" t="s">
        <v>81</v>
      </c>
      <c r="E4195" s="5" t="s">
        <v>93</v>
      </c>
      <c r="F4195" s="9">
        <v>43</v>
      </c>
      <c r="G4195" s="9">
        <v>452</v>
      </c>
      <c r="H4195" s="5" t="s">
        <v>21</v>
      </c>
      <c r="I4195" s="5" t="s">
        <v>10494</v>
      </c>
      <c r="J4195" s="12" t="str">
        <f>HYPERLINK("https://www.boe.es/gazeta/dias/1803/05/31/pdfs/GMD-1803-43.pdf#page=12","Abrir facsímil")</f>
        <v>Abrir facsímil</v>
      </c>
      <c r="K4195" s="15" t="s">
        <v>23</v>
      </c>
    </row>
    <row r="4196" spans="1:11" ht="42" customHeight="1">
      <c r="A4196" s="4" t="s">
        <v>10495</v>
      </c>
      <c r="B4196" s="5" t="s">
        <v>10495</v>
      </c>
      <c r="C4196" s="5" t="s">
        <v>51</v>
      </c>
      <c r="D4196" s="5" t="s">
        <v>52</v>
      </c>
      <c r="E4196" s="5" t="s">
        <v>514</v>
      </c>
      <c r="F4196" s="9">
        <v>42</v>
      </c>
      <c r="G4196" s="9">
        <v>439</v>
      </c>
      <c r="H4196" s="5" t="s">
        <v>21</v>
      </c>
      <c r="I4196" s="5" t="s">
        <v>10496</v>
      </c>
      <c r="J4196" s="12" t="str">
        <f>HYPERLINK("https://www.boe.es/gazeta/dias/1803/05/27/pdfs/GMD-1803-42.pdf#page=7","Abrir facsímil")</f>
        <v>Abrir facsímil</v>
      </c>
      <c r="K4196" s="15" t="s">
        <v>23</v>
      </c>
    </row>
    <row r="4197" spans="1:11" ht="42" customHeight="1">
      <c r="A4197" s="4" t="s">
        <v>10497</v>
      </c>
      <c r="B4197" s="5" t="s">
        <v>10497</v>
      </c>
      <c r="C4197" s="5" t="s">
        <v>26</v>
      </c>
      <c r="D4197" s="5" t="s">
        <v>27</v>
      </c>
      <c r="E4197" s="5" t="s">
        <v>399</v>
      </c>
      <c r="F4197" s="9">
        <v>95</v>
      </c>
      <c r="G4197" s="9">
        <v>1017</v>
      </c>
      <c r="H4197" s="5" t="s">
        <v>21</v>
      </c>
      <c r="I4197" s="5" t="s">
        <v>10498</v>
      </c>
      <c r="J4197" s="12" t="str">
        <f>HYPERLINK("https://www.boe.es/gazeta/dias/1803/11/25/pdfs/GMD-1803-95.pdf#page=5","Abrir facsímil")</f>
        <v>Abrir facsímil</v>
      </c>
      <c r="K4197" s="15" t="s">
        <v>23</v>
      </c>
    </row>
    <row r="4198" spans="1:11" ht="42" customHeight="1">
      <c r="A4198" s="4" t="s">
        <v>10499</v>
      </c>
      <c r="B4198" s="5" t="s">
        <v>10499</v>
      </c>
      <c r="C4198" s="5" t="s">
        <v>40</v>
      </c>
      <c r="D4198" s="5" t="s">
        <v>41</v>
      </c>
      <c r="E4198" s="5" t="s">
        <v>256</v>
      </c>
      <c r="F4198" s="9">
        <v>1</v>
      </c>
      <c r="G4198" s="9">
        <v>3</v>
      </c>
      <c r="H4198" s="5" t="s">
        <v>21</v>
      </c>
      <c r="I4198" s="5" t="s">
        <v>10500</v>
      </c>
      <c r="J4198" s="12" t="str">
        <f>HYPERLINK("https://www.boe.es/gazeta/dias/1803/01/04/pdfs/GMD-1803-1.pdf#page=3","Abrir facsímil")</f>
        <v>Abrir facsímil</v>
      </c>
      <c r="K4198" s="15" t="s">
        <v>23</v>
      </c>
    </row>
    <row r="4199" spans="1:11" ht="42" customHeight="1">
      <c r="A4199" s="4" t="s">
        <v>10499</v>
      </c>
      <c r="B4199" s="5" t="s">
        <v>10499</v>
      </c>
      <c r="C4199" s="5" t="s">
        <v>51</v>
      </c>
      <c r="D4199" s="5" t="s">
        <v>52</v>
      </c>
      <c r="E4199" s="5" t="s">
        <v>174</v>
      </c>
      <c r="F4199" s="9">
        <v>21</v>
      </c>
      <c r="G4199" s="9">
        <v>220</v>
      </c>
      <c r="H4199" s="5" t="s">
        <v>21</v>
      </c>
      <c r="I4199" s="5" t="s">
        <v>10501</v>
      </c>
      <c r="J4199" s="12" t="str">
        <f>HYPERLINK("https://www.boe.es/gazeta/dias/1803/03/15/pdfs/GMD-1803-21.pdf#page=4","Abrir facsímil")</f>
        <v>Abrir facsímil</v>
      </c>
      <c r="K4199" s="15" t="s">
        <v>23</v>
      </c>
    </row>
    <row r="4200" spans="1:11" ht="42" customHeight="1">
      <c r="A4200" s="4" t="s">
        <v>10502</v>
      </c>
      <c r="B4200" s="5" t="s">
        <v>10503</v>
      </c>
      <c r="C4200" s="5" t="s">
        <v>40</v>
      </c>
      <c r="D4200" s="5" t="s">
        <v>41</v>
      </c>
      <c r="E4200" s="5" t="s">
        <v>328</v>
      </c>
      <c r="F4200" s="9">
        <v>54</v>
      </c>
      <c r="G4200" s="9">
        <v>587</v>
      </c>
      <c r="H4200" s="5" t="s">
        <v>21</v>
      </c>
      <c r="I4200" s="5" t="s">
        <v>10504</v>
      </c>
      <c r="J4200" s="12" t="str">
        <f>HYPERLINK("https://www.boe.es/gazeta/dias/1803/07/08/pdfs/GMD-1803-54.pdf#page=7","Abrir facsímil")</f>
        <v>Abrir facsímil</v>
      </c>
      <c r="K4200" s="15" t="s">
        <v>23</v>
      </c>
    </row>
    <row r="4201" spans="1:11" ht="42" customHeight="1">
      <c r="A4201" s="4" t="s">
        <v>10505</v>
      </c>
      <c r="B4201" s="5" t="s">
        <v>10505</v>
      </c>
      <c r="C4201" s="5" t="s">
        <v>40</v>
      </c>
      <c r="D4201" s="5" t="s">
        <v>41</v>
      </c>
      <c r="E4201" s="5" t="s">
        <v>407</v>
      </c>
      <c r="F4201" s="9">
        <v>82</v>
      </c>
      <c r="G4201" s="9">
        <v>886</v>
      </c>
      <c r="H4201" s="5" t="s">
        <v>21</v>
      </c>
      <c r="I4201" s="5" t="s">
        <v>10506</v>
      </c>
      <c r="J4201" s="12" t="str">
        <f>HYPERLINK("https://www.boe.es/gazeta/dias/1803/10/11/pdfs/GMD-1803-82.pdf#page=10","Abrir facsímil")</f>
        <v>Abrir facsímil</v>
      </c>
      <c r="K4201" s="15" t="s">
        <v>23</v>
      </c>
    </row>
    <row r="4202" spans="1:11" ht="42" customHeight="1">
      <c r="A4202" s="4" t="s">
        <v>10507</v>
      </c>
      <c r="B4202" s="5" t="s">
        <v>10508</v>
      </c>
      <c r="C4202" s="5" t="s">
        <v>26</v>
      </c>
      <c r="D4202" s="5" t="s">
        <v>27</v>
      </c>
      <c r="E4202" s="5" t="s">
        <v>657</v>
      </c>
      <c r="F4202" s="9">
        <v>24</v>
      </c>
      <c r="G4202" s="9">
        <v>256</v>
      </c>
      <c r="H4202" s="5" t="s">
        <v>21</v>
      </c>
      <c r="I4202" s="5" t="s">
        <v>10509</v>
      </c>
      <c r="J4202" s="12" t="str">
        <f>HYPERLINK("https://www.boe.es/gazeta/dias/1803/03/25/pdfs/GMD-1803-24.pdf#page=8","Abrir facsímil")</f>
        <v>Abrir facsímil</v>
      </c>
      <c r="K4202" s="15" t="s">
        <v>23</v>
      </c>
    </row>
    <row r="4203" spans="1:11" ht="42" customHeight="1">
      <c r="A4203" s="4" t="s">
        <v>10510</v>
      </c>
      <c r="B4203" s="5" t="s">
        <v>10510</v>
      </c>
      <c r="C4203" s="5" t="s">
        <v>80</v>
      </c>
      <c r="D4203" s="5" t="s">
        <v>81</v>
      </c>
      <c r="E4203" s="5" t="s">
        <v>399</v>
      </c>
      <c r="F4203" s="9">
        <v>95</v>
      </c>
      <c r="G4203" s="9">
        <v>1020</v>
      </c>
      <c r="H4203" s="5" t="s">
        <v>21</v>
      </c>
      <c r="I4203" s="5" t="s">
        <v>10511</v>
      </c>
      <c r="J4203" s="12" t="str">
        <f>HYPERLINK("https://www.boe.es/gazeta/dias/1803/11/25/pdfs/GMD-1803-95.pdf#page=8","Abrir facsímil")</f>
        <v>Abrir facsímil</v>
      </c>
      <c r="K4203" s="15" t="s">
        <v>23</v>
      </c>
    </row>
    <row r="4204" spans="1:11" ht="42" customHeight="1">
      <c r="A4204" s="4" t="s">
        <v>10512</v>
      </c>
      <c r="B4204" s="5" t="s">
        <v>10513</v>
      </c>
      <c r="C4204" s="5" t="s">
        <v>225</v>
      </c>
      <c r="D4204" s="5" t="s">
        <v>226</v>
      </c>
      <c r="E4204" s="5" t="s">
        <v>191</v>
      </c>
      <c r="F4204" s="9">
        <v>34</v>
      </c>
      <c r="G4204" s="9" t="s">
        <v>876</v>
      </c>
      <c r="H4204" s="5" t="s">
        <v>21</v>
      </c>
      <c r="I4204" s="5" t="s">
        <v>10514</v>
      </c>
      <c r="J4204" s="12" t="str">
        <f>HYPERLINK("https://www.boe.es/gazeta/dias/1803/04/29/pdfs/GMD-C-1803-34.pdf#page=1","Abrir facsímil")</f>
        <v>Abrir facsímil</v>
      </c>
      <c r="K4204" s="15" t="s">
        <v>23</v>
      </c>
    </row>
    <row r="4205" spans="1:11" ht="42" customHeight="1">
      <c r="A4205" s="4" t="s">
        <v>10512</v>
      </c>
      <c r="B4205" s="5" t="s">
        <v>10513</v>
      </c>
      <c r="C4205" s="5" t="s">
        <v>225</v>
      </c>
      <c r="D4205" s="5" t="s">
        <v>226</v>
      </c>
      <c r="E4205" s="5" t="s">
        <v>191</v>
      </c>
      <c r="F4205" s="9">
        <v>34</v>
      </c>
      <c r="G4205" s="9" t="s">
        <v>10515</v>
      </c>
      <c r="H4205" s="5" t="s">
        <v>21</v>
      </c>
      <c r="I4205" s="5" t="s">
        <v>10516</v>
      </c>
      <c r="J4205" s="12" t="str">
        <f>HYPERLINK("https://www.boe.es/gazeta/dias/1803/04/29/pdfs/GMD-C-1803-34.pdf#page=6","Abrir facsímil")</f>
        <v>Abrir facsímil</v>
      </c>
      <c r="K4205" s="15" t="s">
        <v>23</v>
      </c>
    </row>
    <row r="4206" spans="1:11" ht="42" customHeight="1">
      <c r="A4206" s="4" t="s">
        <v>10517</v>
      </c>
      <c r="B4206" s="5" t="s">
        <v>10517</v>
      </c>
      <c r="C4206" s="5" t="s">
        <v>40</v>
      </c>
      <c r="D4206" s="5" t="s">
        <v>41</v>
      </c>
      <c r="E4206" s="5" t="s">
        <v>630</v>
      </c>
      <c r="F4206" s="9">
        <v>85</v>
      </c>
      <c r="G4206" s="9">
        <v>914</v>
      </c>
      <c r="H4206" s="5" t="s">
        <v>21</v>
      </c>
      <c r="I4206" s="5" t="s">
        <v>10518</v>
      </c>
      <c r="J4206" s="12" t="str">
        <f>HYPERLINK("https://www.boe.es/gazeta/dias/1803/10/21/pdfs/GMD-1803-85.pdf#page=6","Abrir facsímil")</f>
        <v>Abrir facsímil</v>
      </c>
      <c r="K4206" s="15" t="s">
        <v>23</v>
      </c>
    </row>
    <row r="4207" spans="1:11" ht="42" customHeight="1">
      <c r="A4207" s="4" t="s">
        <v>10519</v>
      </c>
      <c r="B4207" s="5" t="s">
        <v>10519</v>
      </c>
      <c r="C4207" s="5" t="s">
        <v>40</v>
      </c>
      <c r="D4207" s="5" t="s">
        <v>41</v>
      </c>
      <c r="E4207" s="5" t="s">
        <v>191</v>
      </c>
      <c r="F4207" s="9">
        <v>34</v>
      </c>
      <c r="G4207" s="9">
        <v>358</v>
      </c>
      <c r="H4207" s="5" t="s">
        <v>21</v>
      </c>
      <c r="I4207" s="5" t="s">
        <v>10520</v>
      </c>
      <c r="J4207" s="12" t="str">
        <f>HYPERLINK("https://www.boe.es/gazeta/dias/1803/04/29/pdfs/GMD-1803-34.pdf#page=6","Abrir facsímil")</f>
        <v>Abrir facsímil</v>
      </c>
      <c r="K4207" s="15" t="s">
        <v>23</v>
      </c>
    </row>
    <row r="4208" spans="1:11" ht="42" customHeight="1">
      <c r="A4208" s="4" t="s">
        <v>10521</v>
      </c>
      <c r="B4208" s="5" t="s">
        <v>10522</v>
      </c>
      <c r="C4208" s="5" t="s">
        <v>18</v>
      </c>
      <c r="D4208" s="5" t="s">
        <v>19</v>
      </c>
      <c r="E4208" s="5" t="s">
        <v>967</v>
      </c>
      <c r="F4208" s="9">
        <v>35</v>
      </c>
      <c r="G4208" s="9">
        <v>367</v>
      </c>
      <c r="H4208" s="5" t="s">
        <v>21</v>
      </c>
      <c r="I4208" s="5" t="s">
        <v>10523</v>
      </c>
      <c r="J4208" s="12" t="str">
        <f>HYPERLINK("https://www.boe.es/gazeta/dias/1803/05/03/pdfs/GMD-1803-35.pdf#page=7","Abrir facsímil")</f>
        <v>Abrir facsímil</v>
      </c>
      <c r="K4208" s="15" t="s">
        <v>23</v>
      </c>
    </row>
    <row r="4209" spans="1:11" ht="42" customHeight="1">
      <c r="A4209" s="4" t="s">
        <v>10524</v>
      </c>
      <c r="B4209" s="5" t="s">
        <v>10525</v>
      </c>
      <c r="C4209" s="5" t="s">
        <v>225</v>
      </c>
      <c r="D4209" s="5" t="s">
        <v>226</v>
      </c>
      <c r="E4209" s="5" t="s">
        <v>191</v>
      </c>
      <c r="F4209" s="9">
        <v>34</v>
      </c>
      <c r="G4209" s="9" t="s">
        <v>10515</v>
      </c>
      <c r="H4209" s="5" t="s">
        <v>21</v>
      </c>
      <c r="I4209" s="5" t="s">
        <v>10526</v>
      </c>
      <c r="J4209" s="12" t="str">
        <f>HYPERLINK("https://www.boe.es/gazeta/dias/1803/04/29/pdfs/GMD-C-1803-34.pdf#page=6","Abrir facsímil")</f>
        <v>Abrir facsímil</v>
      </c>
      <c r="K4209" s="15" t="s">
        <v>23</v>
      </c>
    </row>
    <row r="4210" spans="1:11" ht="42" customHeight="1">
      <c r="A4210" s="4" t="s">
        <v>10527</v>
      </c>
      <c r="B4210" s="5" t="s">
        <v>10528</v>
      </c>
      <c r="C4210" s="5" t="s">
        <v>46</v>
      </c>
      <c r="D4210" s="5" t="s">
        <v>19</v>
      </c>
      <c r="E4210" s="5" t="s">
        <v>83</v>
      </c>
      <c r="F4210" s="9">
        <v>28</v>
      </c>
      <c r="G4210" s="9">
        <v>297</v>
      </c>
      <c r="H4210" s="5" t="s">
        <v>21</v>
      </c>
      <c r="I4210" s="5" t="s">
        <v>10529</v>
      </c>
      <c r="J4210" s="12" t="str">
        <f>HYPERLINK("https://www.boe.es/gazeta/dias/1803/04/08/pdfs/GMD-1803-28.pdf#page=1","Abrir facsímil")</f>
        <v>Abrir facsímil</v>
      </c>
      <c r="K4210" s="15" t="s">
        <v>23</v>
      </c>
    </row>
    <row r="4211" spans="1:11" ht="42" customHeight="1">
      <c r="A4211" s="4" t="s">
        <v>10530</v>
      </c>
      <c r="B4211" s="5" t="s">
        <v>10531</v>
      </c>
      <c r="C4211" s="5" t="s">
        <v>40</v>
      </c>
      <c r="D4211" s="5" t="s">
        <v>41</v>
      </c>
      <c r="E4211" s="5" t="s">
        <v>919</v>
      </c>
      <c r="F4211" s="9">
        <v>69</v>
      </c>
      <c r="G4211" s="9">
        <v>747</v>
      </c>
      <c r="H4211" s="5" t="s">
        <v>21</v>
      </c>
      <c r="I4211" s="5" t="s">
        <v>10532</v>
      </c>
      <c r="J4211" s="12" t="str">
        <f>HYPERLINK("https://www.boe.es/gazeta/dias/1803/08/30/pdfs/GMD-1803-69.pdf#page=3","Abrir facsímil")</f>
        <v>Abrir facsímil</v>
      </c>
      <c r="K4211" s="15" t="s">
        <v>23</v>
      </c>
    </row>
    <row r="4212" spans="1:11" ht="42" customHeight="1">
      <c r="A4212" s="4" t="s">
        <v>10533</v>
      </c>
      <c r="B4212" s="5" t="s">
        <v>10534</v>
      </c>
      <c r="C4212" s="5" t="s">
        <v>40</v>
      </c>
      <c r="D4212" s="5" t="s">
        <v>41</v>
      </c>
      <c r="E4212" s="5" t="s">
        <v>28</v>
      </c>
      <c r="F4212" s="9">
        <v>92</v>
      </c>
      <c r="G4212" s="9">
        <v>984</v>
      </c>
      <c r="H4212" s="5" t="s">
        <v>21</v>
      </c>
      <c r="I4212" s="5" t="s">
        <v>10535</v>
      </c>
      <c r="J4212" s="12" t="str">
        <f>HYPERLINK("https://www.boe.es/gazeta/dias/1803/11/15/pdfs/GMD-1803-92.pdf#page=4","Abrir facsímil")</f>
        <v>Abrir facsímil</v>
      </c>
      <c r="K4212" s="15" t="s">
        <v>23</v>
      </c>
    </row>
    <row r="4213" spans="1:11" ht="42" customHeight="1">
      <c r="A4213" s="4" t="s">
        <v>10536</v>
      </c>
      <c r="B4213" s="5" t="s">
        <v>10537</v>
      </c>
      <c r="C4213" s="5" t="s">
        <v>18</v>
      </c>
      <c r="D4213" s="5" t="s">
        <v>19</v>
      </c>
      <c r="E4213" s="5" t="s">
        <v>293</v>
      </c>
      <c r="F4213" s="9">
        <v>45</v>
      </c>
      <c r="G4213" s="9">
        <v>474</v>
      </c>
      <c r="H4213" s="5" t="s">
        <v>21</v>
      </c>
      <c r="I4213" s="5" t="s">
        <v>10538</v>
      </c>
      <c r="J4213" s="12" t="str">
        <f>HYPERLINK("https://www.boe.es/gazeta/dias/1803/06/07/pdfs/GMD-1803-45.pdf#page=10","Abrir facsímil")</f>
        <v>Abrir facsímil</v>
      </c>
      <c r="K4213" s="15" t="s">
        <v>23</v>
      </c>
    </row>
    <row r="4214" spans="1:11" ht="42" customHeight="1">
      <c r="A4214" s="4" t="s">
        <v>10539</v>
      </c>
      <c r="B4214" s="5" t="s">
        <v>10540</v>
      </c>
      <c r="C4214" s="5" t="s">
        <v>18</v>
      </c>
      <c r="D4214" s="5" t="s">
        <v>19</v>
      </c>
      <c r="E4214" s="5" t="s">
        <v>174</v>
      </c>
      <c r="F4214" s="9">
        <v>21</v>
      </c>
      <c r="G4214" s="9">
        <v>226</v>
      </c>
      <c r="H4214" s="5" t="s">
        <v>21</v>
      </c>
      <c r="I4214" s="5" t="s">
        <v>10541</v>
      </c>
      <c r="J4214" s="12" t="str">
        <f>HYPERLINK("https://www.boe.es/gazeta/dias/1803/03/15/pdfs/GMD-1803-21.pdf#page=10","Abrir facsímil")</f>
        <v>Abrir facsímil</v>
      </c>
      <c r="K4214" s="15" t="s">
        <v>23</v>
      </c>
    </row>
    <row r="4215" spans="1:11" ht="42" customHeight="1">
      <c r="A4215" s="4" t="s">
        <v>10542</v>
      </c>
      <c r="B4215" s="5" t="s">
        <v>10542</v>
      </c>
      <c r="C4215" s="5" t="s">
        <v>80</v>
      </c>
      <c r="D4215" s="5" t="s">
        <v>81</v>
      </c>
      <c r="E4215" s="5" t="s">
        <v>93</v>
      </c>
      <c r="F4215" s="9">
        <v>43</v>
      </c>
      <c r="G4215" s="9">
        <v>452</v>
      </c>
      <c r="H4215" s="5" t="s">
        <v>21</v>
      </c>
      <c r="I4215" s="5" t="s">
        <v>10543</v>
      </c>
      <c r="J4215" s="12" t="str">
        <f>HYPERLINK("https://www.boe.es/gazeta/dias/1803/05/31/pdfs/GMD-1803-43.pdf#page=12","Abrir facsímil")</f>
        <v>Abrir facsímil</v>
      </c>
      <c r="K4215" s="15" t="s">
        <v>23</v>
      </c>
    </row>
    <row r="4216" spans="1:11" ht="42" customHeight="1">
      <c r="A4216" s="4" t="s">
        <v>10544</v>
      </c>
      <c r="B4216" s="5" t="s">
        <v>10544</v>
      </c>
      <c r="C4216" s="5" t="s">
        <v>51</v>
      </c>
      <c r="D4216" s="5" t="s">
        <v>52</v>
      </c>
      <c r="E4216" s="5" t="s">
        <v>203</v>
      </c>
      <c r="F4216" s="9">
        <v>32</v>
      </c>
      <c r="G4216" s="9">
        <v>336</v>
      </c>
      <c r="H4216" s="5" t="s">
        <v>21</v>
      </c>
      <c r="I4216" s="5" t="s">
        <v>10545</v>
      </c>
      <c r="J4216" s="12" t="str">
        <f>HYPERLINK("https://www.boe.es/gazeta/dias/1803/04/22/pdfs/GMD-1803-32.pdf#page=8","Abrir facsímil")</f>
        <v>Abrir facsímil</v>
      </c>
      <c r="K4216" s="15" t="s">
        <v>23</v>
      </c>
    </row>
    <row r="4217" spans="1:11" ht="42" customHeight="1">
      <c r="A4217" s="4" t="s">
        <v>10546</v>
      </c>
      <c r="B4217" s="5" t="s">
        <v>10547</v>
      </c>
      <c r="C4217" s="5" t="s">
        <v>26</v>
      </c>
      <c r="D4217" s="5" t="s">
        <v>27</v>
      </c>
      <c r="E4217" s="5" t="s">
        <v>71</v>
      </c>
      <c r="F4217" s="9">
        <v>39</v>
      </c>
      <c r="G4217" s="9">
        <v>412</v>
      </c>
      <c r="H4217" s="5" t="s">
        <v>21</v>
      </c>
      <c r="I4217" s="5" t="s">
        <v>10548</v>
      </c>
      <c r="J4217" s="12" t="str">
        <f>HYPERLINK("https://www.boe.es/gazeta/dias/1803/05/17/pdfs/GMD-1803-39.pdf#page=8","Abrir facsímil")</f>
        <v>Abrir facsímil</v>
      </c>
      <c r="K4217" s="15" t="s">
        <v>23</v>
      </c>
    </row>
    <row r="4218" spans="1:11" ht="42" customHeight="1">
      <c r="A4218" s="4" t="s">
        <v>10549</v>
      </c>
      <c r="B4218" s="5" t="s">
        <v>10549</v>
      </c>
      <c r="C4218" s="5" t="s">
        <v>80</v>
      </c>
      <c r="D4218" s="5" t="s">
        <v>81</v>
      </c>
      <c r="E4218" s="5" t="s">
        <v>571</v>
      </c>
      <c r="F4218" s="9">
        <v>103</v>
      </c>
      <c r="G4218" s="9">
        <v>1107</v>
      </c>
      <c r="H4218" s="5" t="s">
        <v>21</v>
      </c>
      <c r="I4218" s="5" t="s">
        <v>10550</v>
      </c>
      <c r="J4218" s="12" t="str">
        <f>HYPERLINK("https://www.boe.es/gazeta/dias/1803/12/23/pdfs/GMD-1803-103.pdf#page=7","Abrir facsímil")</f>
        <v>Abrir facsímil</v>
      </c>
      <c r="K4218" s="15" t="s">
        <v>23</v>
      </c>
    </row>
    <row r="4219" spans="1:11" ht="42" customHeight="1">
      <c r="A4219" s="4" t="s">
        <v>10551</v>
      </c>
      <c r="B4219" s="5" t="s">
        <v>10551</v>
      </c>
      <c r="C4219" s="5" t="s">
        <v>26</v>
      </c>
      <c r="D4219" s="5" t="s">
        <v>27</v>
      </c>
      <c r="E4219" s="5" t="s">
        <v>361</v>
      </c>
      <c r="F4219" s="9">
        <v>62</v>
      </c>
      <c r="G4219" s="9">
        <v>678</v>
      </c>
      <c r="H4219" s="5" t="s">
        <v>21</v>
      </c>
      <c r="I4219" s="5" t="s">
        <v>10552</v>
      </c>
      <c r="J4219" s="12" t="str">
        <f>HYPERLINK("https://www.boe.es/gazeta/dias/1803/08/05/pdfs/GMD-1803-62.pdf#page=10","Abrir facsímil")</f>
        <v>Abrir facsímil</v>
      </c>
      <c r="K4219" s="15" t="s">
        <v>23</v>
      </c>
    </row>
    <row r="4220" spans="1:11" ht="42" customHeight="1">
      <c r="A4220" s="4" t="s">
        <v>10553</v>
      </c>
      <c r="B4220" s="5" t="s">
        <v>10553</v>
      </c>
      <c r="C4220" s="5" t="s">
        <v>26</v>
      </c>
      <c r="D4220" s="5" t="s">
        <v>27</v>
      </c>
      <c r="E4220" s="5" t="s">
        <v>784</v>
      </c>
      <c r="F4220" s="9">
        <v>86</v>
      </c>
      <c r="G4220" s="9">
        <v>931</v>
      </c>
      <c r="H4220" s="5" t="s">
        <v>21</v>
      </c>
      <c r="I4220" s="5" t="s">
        <v>10554</v>
      </c>
      <c r="J4220" s="12" t="str">
        <f>HYPERLINK("https://www.boe.es/gazeta/dias/1803/10/25/pdfs/GMD-1803-86.pdf#page=11","Abrir facsímil")</f>
        <v>Abrir facsímil</v>
      </c>
      <c r="K4220" s="15" t="s">
        <v>23</v>
      </c>
    </row>
    <row r="4221" spans="1:11" ht="42" customHeight="1">
      <c r="A4221" s="4" t="s">
        <v>10555</v>
      </c>
      <c r="B4221" s="5" t="s">
        <v>10555</v>
      </c>
      <c r="C4221" s="5" t="s">
        <v>26</v>
      </c>
      <c r="D4221" s="5" t="s">
        <v>27</v>
      </c>
      <c r="E4221" s="5" t="s">
        <v>395</v>
      </c>
      <c r="F4221" s="9">
        <v>13</v>
      </c>
      <c r="G4221" s="9">
        <v>134</v>
      </c>
      <c r="H4221" s="5" t="s">
        <v>21</v>
      </c>
      <c r="I4221" s="5" t="s">
        <v>10556</v>
      </c>
      <c r="J4221" s="12" t="str">
        <f>HYPERLINK("https://www.boe.es/gazeta/dias/1803/02/15/pdfs/GMD-1803-13.pdf#page=10","Abrir facsímil")</f>
        <v>Abrir facsímil</v>
      </c>
      <c r="K4221" s="15" t="s">
        <v>23</v>
      </c>
    </row>
    <row r="4222" spans="1:11" ht="42" customHeight="1">
      <c r="A4222" s="4" t="s">
        <v>10555</v>
      </c>
      <c r="B4222" s="5" t="s">
        <v>10555</v>
      </c>
      <c r="C4222" s="5" t="s">
        <v>26</v>
      </c>
      <c r="D4222" s="5" t="s">
        <v>27</v>
      </c>
      <c r="E4222" s="5" t="s">
        <v>85</v>
      </c>
      <c r="F4222" s="9">
        <v>49</v>
      </c>
      <c r="G4222" s="9">
        <v>522</v>
      </c>
      <c r="H4222" s="5" t="s">
        <v>21</v>
      </c>
      <c r="I4222" s="5" t="s">
        <v>10557</v>
      </c>
      <c r="J4222" s="12" t="str">
        <f>HYPERLINK("https://www.boe.es/gazeta/dias/1803/06/21/pdfs/GMD-1803-49.pdf#page=10","Abrir facsímil")</f>
        <v>Abrir facsímil</v>
      </c>
      <c r="K4222" s="15" t="s">
        <v>23</v>
      </c>
    </row>
    <row r="4223" spans="1:11" ht="42" customHeight="1">
      <c r="A4223" s="4" t="s">
        <v>10555</v>
      </c>
      <c r="B4223" s="5" t="s">
        <v>10555</v>
      </c>
      <c r="C4223" s="5" t="s">
        <v>26</v>
      </c>
      <c r="D4223" s="5" t="s">
        <v>27</v>
      </c>
      <c r="E4223" s="5" t="s">
        <v>75</v>
      </c>
      <c r="F4223" s="9">
        <v>56</v>
      </c>
      <c r="G4223" s="9">
        <v>612</v>
      </c>
      <c r="H4223" s="5" t="s">
        <v>21</v>
      </c>
      <c r="I4223" s="5" t="s">
        <v>10558</v>
      </c>
      <c r="J4223" s="12" t="str">
        <f>HYPERLINK("https://www.boe.es/gazeta/dias/1803/07/15/pdfs/GMD-1803-56.pdf#page=8","Abrir facsímil")</f>
        <v>Abrir facsímil</v>
      </c>
      <c r="K4223" s="15" t="s">
        <v>23</v>
      </c>
    </row>
    <row r="4224" spans="1:11" ht="42" customHeight="1">
      <c r="A4224" s="4" t="s">
        <v>10555</v>
      </c>
      <c r="B4224" s="5" t="s">
        <v>10555</v>
      </c>
      <c r="C4224" s="5" t="s">
        <v>26</v>
      </c>
      <c r="D4224" s="5" t="s">
        <v>27</v>
      </c>
      <c r="E4224" s="5" t="s">
        <v>261</v>
      </c>
      <c r="F4224" s="9">
        <v>70</v>
      </c>
      <c r="G4224" s="9">
        <v>768</v>
      </c>
      <c r="H4224" s="5" t="s">
        <v>21</v>
      </c>
      <c r="I4224" s="5" t="s">
        <v>10559</v>
      </c>
      <c r="J4224" s="12" t="str">
        <f>HYPERLINK("https://www.boe.es/gazeta/dias/1803/09/02/pdfs/GMD-1803-70.pdf#page=8","Abrir facsímil")</f>
        <v>Abrir facsímil</v>
      </c>
      <c r="K4224" s="15" t="s">
        <v>23</v>
      </c>
    </row>
    <row r="4225" spans="1:11" ht="42" customHeight="1">
      <c r="A4225" s="4" t="s">
        <v>10555</v>
      </c>
      <c r="B4225" s="5" t="s">
        <v>10555</v>
      </c>
      <c r="C4225" s="5" t="s">
        <v>26</v>
      </c>
      <c r="D4225" s="5" t="s">
        <v>27</v>
      </c>
      <c r="E4225" s="5" t="s">
        <v>263</v>
      </c>
      <c r="F4225" s="9">
        <v>75</v>
      </c>
      <c r="G4225" s="9">
        <v>811</v>
      </c>
      <c r="H4225" s="5" t="s">
        <v>21</v>
      </c>
      <c r="I4225" s="5" t="s">
        <v>10560</v>
      </c>
      <c r="J4225" s="12" t="str">
        <f>HYPERLINK("https://www.boe.es/gazeta/dias/1803/09/16/pdfs/GMD-1803-75.pdf#page=7","Abrir facsímil")</f>
        <v>Abrir facsímil</v>
      </c>
      <c r="K4225" s="15" t="s">
        <v>23</v>
      </c>
    </row>
    <row r="4226" spans="1:11" ht="42" customHeight="1">
      <c r="A4226" s="4" t="s">
        <v>10555</v>
      </c>
      <c r="B4226" s="5" t="s">
        <v>10555</v>
      </c>
      <c r="C4226" s="5" t="s">
        <v>26</v>
      </c>
      <c r="D4226" s="5" t="s">
        <v>27</v>
      </c>
      <c r="E4226" s="5" t="s">
        <v>439</v>
      </c>
      <c r="F4226" s="9">
        <v>76</v>
      </c>
      <c r="G4226" s="9">
        <v>823</v>
      </c>
      <c r="H4226" s="5" t="s">
        <v>21</v>
      </c>
      <c r="I4226" s="5" t="s">
        <v>10561</v>
      </c>
      <c r="J4226" s="12" t="str">
        <f>HYPERLINK("https://www.boe.es/gazeta/dias/1803/09/20/pdfs/GMD-1803-76.pdf#page=11","Abrir facsímil")</f>
        <v>Abrir facsímil</v>
      </c>
      <c r="K4226" s="15" t="s">
        <v>23</v>
      </c>
    </row>
    <row r="4227" spans="1:11" ht="42" customHeight="1">
      <c r="A4227" s="4" t="s">
        <v>10555</v>
      </c>
      <c r="B4227" s="5" t="s">
        <v>10555</v>
      </c>
      <c r="C4227" s="5" t="s">
        <v>26</v>
      </c>
      <c r="D4227" s="5" t="s">
        <v>27</v>
      </c>
      <c r="E4227" s="5" t="s">
        <v>373</v>
      </c>
      <c r="F4227" s="9">
        <v>77</v>
      </c>
      <c r="G4227" s="9">
        <v>835</v>
      </c>
      <c r="H4227" s="5" t="s">
        <v>21</v>
      </c>
      <c r="I4227" s="5" t="s">
        <v>10562</v>
      </c>
      <c r="J4227" s="12" t="str">
        <f>HYPERLINK("https://www.boe.es/gazeta/dias/1803/09/23/pdfs/GMD-1803-77.pdf#page=11","Abrir facsímil")</f>
        <v>Abrir facsímil</v>
      </c>
      <c r="K4227" s="15" t="s">
        <v>23</v>
      </c>
    </row>
    <row r="4228" spans="1:11" ht="42" customHeight="1">
      <c r="A4228" s="4" t="s">
        <v>10555</v>
      </c>
      <c r="B4228" s="5" t="s">
        <v>10555</v>
      </c>
      <c r="C4228" s="5" t="s">
        <v>26</v>
      </c>
      <c r="D4228" s="5" t="s">
        <v>27</v>
      </c>
      <c r="E4228" s="5" t="s">
        <v>164</v>
      </c>
      <c r="F4228" s="9">
        <v>84</v>
      </c>
      <c r="G4228" s="9">
        <v>904</v>
      </c>
      <c r="H4228" s="5" t="s">
        <v>21</v>
      </c>
      <c r="I4228" s="5" t="s">
        <v>10563</v>
      </c>
      <c r="J4228" s="12" t="str">
        <f>HYPERLINK("https://www.boe.es/gazeta/dias/1803/10/18/pdfs/GMD-1803-84.pdf#page=8","Abrir facsímil")</f>
        <v>Abrir facsímil</v>
      </c>
      <c r="K4228" s="15" t="s">
        <v>23</v>
      </c>
    </row>
    <row r="4229" spans="1:11" ht="42" customHeight="1">
      <c r="A4229" s="4" t="s">
        <v>10555</v>
      </c>
      <c r="B4229" s="5" t="s">
        <v>10555</v>
      </c>
      <c r="C4229" s="5" t="s">
        <v>26</v>
      </c>
      <c r="D4229" s="5" t="s">
        <v>27</v>
      </c>
      <c r="E4229" s="5" t="s">
        <v>480</v>
      </c>
      <c r="F4229" s="9">
        <v>87</v>
      </c>
      <c r="G4229" s="9">
        <v>940</v>
      </c>
      <c r="H4229" s="5" t="s">
        <v>21</v>
      </c>
      <c r="I4229" s="5" t="s">
        <v>10564</v>
      </c>
      <c r="J4229" s="12" t="str">
        <f>HYPERLINK("https://www.boe.es/gazeta/dias/1803/10/28/pdfs/GMD-1803-87.pdf#page=8","Abrir facsímil")</f>
        <v>Abrir facsímil</v>
      </c>
      <c r="K4229" s="15" t="s">
        <v>23</v>
      </c>
    </row>
    <row r="4230" spans="1:11" ht="42" customHeight="1">
      <c r="A4230" s="4" t="s">
        <v>10555</v>
      </c>
      <c r="B4230" s="5" t="s">
        <v>10555</v>
      </c>
      <c r="C4230" s="5" t="s">
        <v>26</v>
      </c>
      <c r="D4230" s="5" t="s">
        <v>27</v>
      </c>
      <c r="E4230" s="5" t="s">
        <v>113</v>
      </c>
      <c r="F4230" s="9">
        <v>93</v>
      </c>
      <c r="G4230" s="9">
        <v>998</v>
      </c>
      <c r="H4230" s="5" t="s">
        <v>21</v>
      </c>
      <c r="I4230" s="5" t="s">
        <v>10565</v>
      </c>
      <c r="J4230" s="12" t="str">
        <f>HYPERLINK("https://www.boe.es/gazeta/dias/1803/11/18/pdfs/GMD-1803-93.pdf#page=10","Abrir facsímil")</f>
        <v>Abrir facsímil</v>
      </c>
      <c r="K4230" s="15" t="s">
        <v>23</v>
      </c>
    </row>
    <row r="4231" spans="1:11" ht="42" customHeight="1">
      <c r="A4231" s="4" t="s">
        <v>10555</v>
      </c>
      <c r="B4231" s="5" t="s">
        <v>10555</v>
      </c>
      <c r="C4231" s="5" t="s">
        <v>26</v>
      </c>
      <c r="D4231" s="5" t="s">
        <v>27</v>
      </c>
      <c r="E4231" s="5" t="s">
        <v>20</v>
      </c>
      <c r="F4231" s="9">
        <v>97</v>
      </c>
      <c r="G4231" s="9">
        <v>1043</v>
      </c>
      <c r="H4231" s="5" t="s">
        <v>21</v>
      </c>
      <c r="I4231" s="5" t="s">
        <v>10566</v>
      </c>
      <c r="J4231" s="12" t="str">
        <f>HYPERLINK("https://www.boe.es/gazeta/dias/1803/12/02/pdfs/GMD-1803-97.pdf#page=7","Abrir facsímil")</f>
        <v>Abrir facsímil</v>
      </c>
      <c r="K4231" s="15" t="s">
        <v>23</v>
      </c>
    </row>
    <row r="4232" spans="1:11" ht="42" customHeight="1">
      <c r="A4232" s="4" t="s">
        <v>10567</v>
      </c>
      <c r="B4232" s="5" t="s">
        <v>10567</v>
      </c>
      <c r="C4232" s="5" t="s">
        <v>46</v>
      </c>
      <c r="D4232" s="5" t="s">
        <v>19</v>
      </c>
      <c r="E4232" s="5" t="s">
        <v>361</v>
      </c>
      <c r="F4232" s="9">
        <v>62</v>
      </c>
      <c r="G4232" s="9">
        <v>678</v>
      </c>
      <c r="H4232" s="5" t="s">
        <v>21</v>
      </c>
      <c r="I4232" s="5" t="s">
        <v>10568</v>
      </c>
      <c r="J4232" s="12" t="str">
        <f>HYPERLINK("https://www.boe.es/gazeta/dias/1803/08/05/pdfs/GMD-1803-62.pdf#page=10","Abrir facsímil")</f>
        <v>Abrir facsímil</v>
      </c>
      <c r="K4232" s="15" t="s">
        <v>23</v>
      </c>
    </row>
    <row r="4233" spans="1:11" ht="42" customHeight="1">
      <c r="A4233" s="4" t="s">
        <v>10569</v>
      </c>
      <c r="B4233" s="5" t="s">
        <v>10569</v>
      </c>
      <c r="C4233" s="5" t="s">
        <v>26</v>
      </c>
      <c r="D4233" s="5" t="s">
        <v>27</v>
      </c>
      <c r="E4233" s="5" t="s">
        <v>160</v>
      </c>
      <c r="F4233" s="9">
        <v>81</v>
      </c>
      <c r="G4233" s="9">
        <v>875</v>
      </c>
      <c r="H4233" s="5" t="s">
        <v>21</v>
      </c>
      <c r="I4233" s="5" t="s">
        <v>10570</v>
      </c>
      <c r="J4233" s="12" t="str">
        <f>HYPERLINK("https://www.boe.es/gazeta/dias/1803/10/07/pdfs/GMD-1803-81.pdf#page=11","Abrir facsímil")</f>
        <v>Abrir facsímil</v>
      </c>
      <c r="K4233" s="15" t="s">
        <v>23</v>
      </c>
    </row>
    <row r="4234" spans="1:11" ht="42" customHeight="1">
      <c r="A4234" s="4" t="s">
        <v>10571</v>
      </c>
      <c r="B4234" s="5" t="s">
        <v>10572</v>
      </c>
      <c r="C4234" s="5" t="s">
        <v>26</v>
      </c>
      <c r="D4234" s="5" t="s">
        <v>27</v>
      </c>
      <c r="E4234" s="5" t="s">
        <v>493</v>
      </c>
      <c r="F4234" s="9">
        <v>104</v>
      </c>
      <c r="G4234" s="9">
        <v>1115</v>
      </c>
      <c r="H4234" s="5" t="s">
        <v>21</v>
      </c>
      <c r="I4234" s="5" t="s">
        <v>10573</v>
      </c>
      <c r="J4234" s="12" t="str">
        <f>HYPERLINK("https://www.boe.es/gazeta/dias/1803/12/27/pdfs/GMD-1803-104.pdf#page=7","Abrir facsímil")</f>
        <v>Abrir facsímil</v>
      </c>
      <c r="K4234" s="15" t="s">
        <v>23</v>
      </c>
    </row>
    <row r="4235" spans="1:11" ht="42" customHeight="1">
      <c r="A4235" s="4" t="s">
        <v>10574</v>
      </c>
      <c r="B4235" s="5" t="s">
        <v>10575</v>
      </c>
      <c r="C4235" s="5" t="s">
        <v>26</v>
      </c>
      <c r="D4235" s="5" t="s">
        <v>27</v>
      </c>
      <c r="E4235" s="5" t="s">
        <v>68</v>
      </c>
      <c r="F4235" s="9">
        <v>23</v>
      </c>
      <c r="G4235" s="9">
        <v>246</v>
      </c>
      <c r="H4235" s="5" t="s">
        <v>21</v>
      </c>
      <c r="I4235" s="5" t="s">
        <v>10576</v>
      </c>
      <c r="J4235" s="12" t="str">
        <f>HYPERLINK("https://www.boe.es/gazeta/dias/1803/03/22/pdfs/GMD-1803-23.pdf#page=6","Abrir facsímil")</f>
        <v>Abrir facsímil</v>
      </c>
      <c r="K4235" s="15" t="s">
        <v>23</v>
      </c>
    </row>
    <row r="4236" spans="1:11" ht="42" customHeight="1">
      <c r="A4236" s="4" t="s">
        <v>10577</v>
      </c>
      <c r="B4236" s="5" t="s">
        <v>10578</v>
      </c>
      <c r="C4236" s="5" t="s">
        <v>51</v>
      </c>
      <c r="D4236" s="5" t="s">
        <v>52</v>
      </c>
      <c r="E4236" s="5" t="s">
        <v>514</v>
      </c>
      <c r="F4236" s="9">
        <v>42</v>
      </c>
      <c r="G4236" s="9">
        <v>439</v>
      </c>
      <c r="H4236" s="5" t="s">
        <v>21</v>
      </c>
      <c r="I4236" s="5" t="s">
        <v>10579</v>
      </c>
      <c r="J4236" s="12" t="str">
        <f>HYPERLINK("https://www.boe.es/gazeta/dias/1803/05/27/pdfs/GMD-1803-42.pdf#page=7","Abrir facsímil")</f>
        <v>Abrir facsímil</v>
      </c>
      <c r="K4236" s="15" t="s">
        <v>23</v>
      </c>
    </row>
    <row r="4237" spans="1:11" ht="42" customHeight="1">
      <c r="A4237" s="4" t="s">
        <v>10580</v>
      </c>
      <c r="B4237" s="5" t="s">
        <v>10581</v>
      </c>
      <c r="C4237" s="5" t="s">
        <v>26</v>
      </c>
      <c r="D4237" s="5" t="s">
        <v>27</v>
      </c>
      <c r="E4237" s="5" t="s">
        <v>300</v>
      </c>
      <c r="F4237" s="9">
        <v>96</v>
      </c>
      <c r="G4237" s="9">
        <v>1033</v>
      </c>
      <c r="H4237" s="5" t="s">
        <v>21</v>
      </c>
      <c r="I4237" s="5" t="s">
        <v>10582</v>
      </c>
      <c r="J4237" s="12" t="str">
        <f>HYPERLINK("https://www.boe.es/gazeta/dias/1803/11/29/pdfs/GMD-1803-96.pdf#page=9","Abrir facsímil")</f>
        <v>Abrir facsímil</v>
      </c>
      <c r="K4237" s="15" t="s">
        <v>23</v>
      </c>
    </row>
    <row r="4238" spans="1:11" ht="42" customHeight="1">
      <c r="A4238" s="4" t="s">
        <v>10583</v>
      </c>
      <c r="B4238" s="5" t="s">
        <v>10584</v>
      </c>
      <c r="C4238" s="5" t="s">
        <v>26</v>
      </c>
      <c r="D4238" s="5" t="s">
        <v>27</v>
      </c>
      <c r="E4238" s="5" t="s">
        <v>496</v>
      </c>
      <c r="F4238" s="9">
        <v>90</v>
      </c>
      <c r="G4238" s="9">
        <v>966</v>
      </c>
      <c r="H4238" s="5" t="s">
        <v>21</v>
      </c>
      <c r="I4238" s="5" t="s">
        <v>10585</v>
      </c>
      <c r="J4238" s="12" t="str">
        <f>HYPERLINK("https://www.boe.es/gazeta/dias/1803/11/08/pdfs/GMD-1803-90.pdf#page=6","Abrir facsímil")</f>
        <v>Abrir facsímil</v>
      </c>
      <c r="K4238" s="15" t="s">
        <v>23</v>
      </c>
    </row>
    <row r="4239" spans="1:11" ht="42" customHeight="1">
      <c r="A4239" s="4" t="s">
        <v>10586</v>
      </c>
      <c r="B4239" s="5" t="s">
        <v>10587</v>
      </c>
      <c r="C4239" s="5" t="s">
        <v>18</v>
      </c>
      <c r="D4239" s="5" t="s">
        <v>19</v>
      </c>
      <c r="E4239" s="5" t="s">
        <v>373</v>
      </c>
      <c r="F4239" s="9">
        <v>77</v>
      </c>
      <c r="G4239" s="9">
        <v>833</v>
      </c>
      <c r="H4239" s="5" t="s">
        <v>21</v>
      </c>
      <c r="I4239" s="5" t="s">
        <v>10588</v>
      </c>
      <c r="J4239" s="12" t="str">
        <f>HYPERLINK("https://www.boe.es/gazeta/dias/1803/09/23/pdfs/GMD-1803-77.pdf#page=9","Abrir facsímil")</f>
        <v>Abrir facsímil</v>
      </c>
      <c r="K4239" s="15" t="s">
        <v>23</v>
      </c>
    </row>
    <row r="4240" spans="1:11" ht="42" customHeight="1">
      <c r="A4240" s="4" t="s">
        <v>10589</v>
      </c>
      <c r="B4240" s="5" t="s">
        <v>10590</v>
      </c>
      <c r="C4240" s="5" t="s">
        <v>18</v>
      </c>
      <c r="D4240" s="5" t="s">
        <v>19</v>
      </c>
      <c r="E4240" s="5" t="s">
        <v>391</v>
      </c>
      <c r="F4240" s="9">
        <v>61</v>
      </c>
      <c r="G4240" s="9">
        <v>668</v>
      </c>
      <c r="H4240" s="5" t="s">
        <v>21</v>
      </c>
      <c r="I4240" s="5" t="s">
        <v>10591</v>
      </c>
      <c r="J4240" s="12" t="str">
        <f>HYPERLINK("https://www.boe.es/gazeta/dias/1803/08/02/pdfs/GMD-1803-61.pdf#page=8","Abrir facsímil")</f>
        <v>Abrir facsímil</v>
      </c>
      <c r="K4240" s="15" t="s">
        <v>23</v>
      </c>
    </row>
    <row r="4241" spans="1:11" ht="42" customHeight="1">
      <c r="A4241" s="4" t="s">
        <v>10592</v>
      </c>
      <c r="B4241" s="5" t="s">
        <v>10593</v>
      </c>
      <c r="C4241" s="5" t="s">
        <v>26</v>
      </c>
      <c r="D4241" s="5" t="s">
        <v>27</v>
      </c>
      <c r="E4241" s="5" t="s">
        <v>261</v>
      </c>
      <c r="F4241" s="9">
        <v>70</v>
      </c>
      <c r="G4241" s="9">
        <v>766</v>
      </c>
      <c r="H4241" s="5" t="s">
        <v>21</v>
      </c>
      <c r="I4241" s="5" t="s">
        <v>10594</v>
      </c>
      <c r="J4241" s="12" t="str">
        <f>HYPERLINK("https://www.boe.es/gazeta/dias/1803/09/02/pdfs/GMD-1803-70.pdf#page=6","Abrir facsímil")</f>
        <v>Abrir facsímil</v>
      </c>
      <c r="K4241" s="15" t="s">
        <v>23</v>
      </c>
    </row>
    <row r="4242" spans="1:11" ht="42" customHeight="1">
      <c r="A4242" s="4" t="s">
        <v>10595</v>
      </c>
      <c r="B4242" s="5" t="s">
        <v>10596</v>
      </c>
      <c r="C4242" s="5" t="s">
        <v>46</v>
      </c>
      <c r="D4242" s="5" t="s">
        <v>19</v>
      </c>
      <c r="E4242" s="5" t="s">
        <v>373</v>
      </c>
      <c r="F4242" s="9">
        <v>77</v>
      </c>
      <c r="G4242" s="9">
        <v>835</v>
      </c>
      <c r="H4242" s="5" t="s">
        <v>21</v>
      </c>
      <c r="I4242" s="5" t="s">
        <v>10597</v>
      </c>
      <c r="J4242" s="12" t="str">
        <f>HYPERLINK("https://www.boe.es/gazeta/dias/1803/09/23/pdfs/GMD-1803-77.pdf#page=11","Abrir facsímil")</f>
        <v>Abrir facsímil</v>
      </c>
      <c r="K4242" s="15" t="s">
        <v>23</v>
      </c>
    </row>
    <row r="4243" spans="1:11" ht="42" customHeight="1">
      <c r="A4243" s="4" t="s">
        <v>10595</v>
      </c>
      <c r="B4243" s="5" t="s">
        <v>10596</v>
      </c>
      <c r="C4243" s="5" t="s">
        <v>26</v>
      </c>
      <c r="D4243" s="5" t="s">
        <v>27</v>
      </c>
      <c r="E4243" s="5" t="s">
        <v>321</v>
      </c>
      <c r="F4243" s="9">
        <v>94</v>
      </c>
      <c r="G4243" s="9">
        <v>1011</v>
      </c>
      <c r="H4243" s="5" t="s">
        <v>21</v>
      </c>
      <c r="I4243" s="5" t="s">
        <v>10598</v>
      </c>
      <c r="J4243" s="12" t="str">
        <f>HYPERLINK("https://www.boe.es/gazeta/dias/1803/11/22/pdfs/GMD-1803-94.pdf#page=11","Abrir facsímil")</f>
        <v>Abrir facsímil</v>
      </c>
      <c r="K4243" s="15" t="s">
        <v>23</v>
      </c>
    </row>
    <row r="4244" spans="1:11" ht="42" customHeight="1">
      <c r="A4244" s="4" t="s">
        <v>10599</v>
      </c>
      <c r="B4244" s="5" t="s">
        <v>10600</v>
      </c>
      <c r="C4244" s="5" t="s">
        <v>51</v>
      </c>
      <c r="D4244" s="5" t="s">
        <v>52</v>
      </c>
      <c r="E4244" s="5" t="s">
        <v>93</v>
      </c>
      <c r="F4244" s="9">
        <v>43</v>
      </c>
      <c r="G4244" s="9">
        <v>450</v>
      </c>
      <c r="H4244" s="5" t="s">
        <v>21</v>
      </c>
      <c r="I4244" s="5" t="s">
        <v>10601</v>
      </c>
      <c r="J4244" s="12" t="str">
        <f>HYPERLINK("https://www.boe.es/gazeta/dias/1803/05/31/pdfs/GMD-1803-43.pdf#page=10","Abrir facsímil")</f>
        <v>Abrir facsímil</v>
      </c>
      <c r="K4244" s="15" t="s">
        <v>23</v>
      </c>
    </row>
    <row r="4245" spans="1:11" ht="42" customHeight="1">
      <c r="A4245" s="4" t="s">
        <v>10602</v>
      </c>
      <c r="B4245" s="5" t="s">
        <v>10603</v>
      </c>
      <c r="C4245" s="5" t="s">
        <v>26</v>
      </c>
      <c r="D4245" s="5" t="s">
        <v>27</v>
      </c>
      <c r="E4245" s="5" t="s">
        <v>132</v>
      </c>
      <c r="F4245" s="9">
        <v>58</v>
      </c>
      <c r="G4245" s="9">
        <v>638</v>
      </c>
      <c r="H4245" s="5" t="s">
        <v>21</v>
      </c>
      <c r="I4245" s="5" t="s">
        <v>10604</v>
      </c>
      <c r="J4245" s="12" t="str">
        <f>HYPERLINK("https://www.boe.es/gazeta/dias/1803/07/22/pdfs/GMD-1803-58.pdf#page=10","Abrir facsímil")</f>
        <v>Abrir facsímil</v>
      </c>
      <c r="K4245" s="15" t="s">
        <v>23</v>
      </c>
    </row>
    <row r="4246" spans="1:11" ht="42" customHeight="1">
      <c r="A4246" s="4" t="s">
        <v>10605</v>
      </c>
      <c r="B4246" s="5" t="s">
        <v>10606</v>
      </c>
      <c r="C4246" s="5" t="s">
        <v>26</v>
      </c>
      <c r="D4246" s="5" t="s">
        <v>27</v>
      </c>
      <c r="E4246" s="5" t="s">
        <v>88</v>
      </c>
      <c r="F4246" s="9">
        <v>18</v>
      </c>
      <c r="G4246" s="9">
        <v>188</v>
      </c>
      <c r="H4246" s="5" t="s">
        <v>21</v>
      </c>
      <c r="I4246" s="5" t="s">
        <v>10607</v>
      </c>
      <c r="J4246" s="12" t="str">
        <f>HYPERLINK("https://www.boe.es/gazeta/dias/1803/03/04/pdfs/GMD-1803-18.pdf#page=8","Abrir facsímil")</f>
        <v>Abrir facsímil</v>
      </c>
      <c r="K4246" s="15" t="s">
        <v>23</v>
      </c>
    </row>
    <row r="4247" spans="1:11" ht="42" customHeight="1">
      <c r="A4247" s="4" t="s">
        <v>10608</v>
      </c>
      <c r="B4247" s="5" t="s">
        <v>10609</v>
      </c>
      <c r="C4247" s="5" t="s">
        <v>80</v>
      </c>
      <c r="D4247" s="5" t="s">
        <v>81</v>
      </c>
      <c r="E4247" s="5" t="s">
        <v>256</v>
      </c>
      <c r="F4247" s="9">
        <v>1</v>
      </c>
      <c r="G4247" s="9">
        <v>8</v>
      </c>
      <c r="H4247" s="5" t="s">
        <v>21</v>
      </c>
      <c r="I4247" s="5" t="s">
        <v>10610</v>
      </c>
      <c r="J4247" s="12" t="str">
        <f>HYPERLINK("https://www.boe.es/gazeta/dias/1803/01/04/pdfs/GMD-1803-1.pdf#page=8","Abrir facsímil")</f>
        <v>Abrir facsímil</v>
      </c>
      <c r="K4247" s="15" t="s">
        <v>23</v>
      </c>
    </row>
    <row r="4248" spans="1:11" ht="42" customHeight="1">
      <c r="A4248" s="4" t="s">
        <v>10608</v>
      </c>
      <c r="B4248" s="5" t="s">
        <v>10609</v>
      </c>
      <c r="C4248" s="5" t="s">
        <v>51</v>
      </c>
      <c r="D4248" s="5" t="s">
        <v>52</v>
      </c>
      <c r="E4248" s="5" t="s">
        <v>293</v>
      </c>
      <c r="F4248" s="9">
        <v>45</v>
      </c>
      <c r="G4248" s="9">
        <v>476</v>
      </c>
      <c r="H4248" s="5" t="s">
        <v>21</v>
      </c>
      <c r="I4248" s="5" t="s">
        <v>10611</v>
      </c>
      <c r="J4248" s="12" t="str">
        <f>HYPERLINK("https://www.boe.es/gazeta/dias/1803/06/07/pdfs/GMD-1803-45.pdf#page=12","Abrir facsímil")</f>
        <v>Abrir facsímil</v>
      </c>
      <c r="K4248" s="15" t="s">
        <v>23</v>
      </c>
    </row>
    <row r="4249" spans="1:11" ht="42" customHeight="1">
      <c r="A4249" s="4" t="s">
        <v>10612</v>
      </c>
      <c r="B4249" s="5" t="s">
        <v>10613</v>
      </c>
      <c r="C4249" s="5" t="s">
        <v>51</v>
      </c>
      <c r="D4249" s="5" t="s">
        <v>52</v>
      </c>
      <c r="E4249" s="5" t="s">
        <v>391</v>
      </c>
      <c r="F4249" s="9">
        <v>61</v>
      </c>
      <c r="G4249" s="9">
        <v>668</v>
      </c>
      <c r="H4249" s="5" t="s">
        <v>21</v>
      </c>
      <c r="I4249" s="5" t="s">
        <v>10614</v>
      </c>
      <c r="J4249" s="12" t="str">
        <f>HYPERLINK("https://www.boe.es/gazeta/dias/1803/08/02/pdfs/GMD-1803-61.pdf#page=8","Abrir facsímil")</f>
        <v>Abrir facsímil</v>
      </c>
      <c r="K4249" s="15" t="s">
        <v>23</v>
      </c>
    </row>
    <row r="4250" spans="1:11" ht="42" customHeight="1">
      <c r="A4250" s="4" t="s">
        <v>10615</v>
      </c>
      <c r="B4250" s="5" t="s">
        <v>10616</v>
      </c>
      <c r="C4250" s="5" t="s">
        <v>26</v>
      </c>
      <c r="D4250" s="5" t="s">
        <v>27</v>
      </c>
      <c r="E4250" s="5" t="s">
        <v>68</v>
      </c>
      <c r="F4250" s="9">
        <v>23</v>
      </c>
      <c r="G4250" s="9">
        <v>246</v>
      </c>
      <c r="H4250" s="5" t="s">
        <v>21</v>
      </c>
      <c r="I4250" s="5" t="s">
        <v>10617</v>
      </c>
      <c r="J4250" s="12" t="str">
        <f>HYPERLINK("https://www.boe.es/gazeta/dias/1803/03/22/pdfs/GMD-1803-23.pdf#page=6","Abrir facsímil")</f>
        <v>Abrir facsímil</v>
      </c>
      <c r="K4250" s="15" t="s">
        <v>23</v>
      </c>
    </row>
    <row r="4251" spans="1:11" ht="42" customHeight="1">
      <c r="A4251" s="4" t="s">
        <v>10618</v>
      </c>
      <c r="B4251" s="5" t="s">
        <v>10619</v>
      </c>
      <c r="C4251" s="5" t="s">
        <v>26</v>
      </c>
      <c r="D4251" s="5" t="s">
        <v>27</v>
      </c>
      <c r="E4251" s="5" t="s">
        <v>156</v>
      </c>
      <c r="F4251" s="9">
        <v>2</v>
      </c>
      <c r="G4251" s="9">
        <v>17</v>
      </c>
      <c r="H4251" s="5" t="s">
        <v>21</v>
      </c>
      <c r="I4251" s="5" t="s">
        <v>10620</v>
      </c>
      <c r="J4251" s="12" t="str">
        <f>HYPERLINK("https://www.boe.es/gazeta/dias/1803/01/07/pdfs/GMD-1803-2.pdf#page=9","Abrir facsímil")</f>
        <v>Abrir facsímil</v>
      </c>
      <c r="K4251" s="15" t="s">
        <v>23</v>
      </c>
    </row>
    <row r="4252" spans="1:11" ht="42" customHeight="1">
      <c r="A4252" s="4" t="s">
        <v>10621</v>
      </c>
      <c r="B4252" s="5" t="s">
        <v>10622</v>
      </c>
      <c r="C4252" s="5" t="s">
        <v>80</v>
      </c>
      <c r="D4252" s="5" t="s">
        <v>81</v>
      </c>
      <c r="E4252" s="5" t="s">
        <v>395</v>
      </c>
      <c r="F4252" s="9">
        <v>13</v>
      </c>
      <c r="G4252" s="9">
        <v>136</v>
      </c>
      <c r="H4252" s="5" t="s">
        <v>21</v>
      </c>
      <c r="I4252" s="5" t="s">
        <v>10623</v>
      </c>
      <c r="J4252" s="12" t="str">
        <f>HYPERLINK("https://www.boe.es/gazeta/dias/1803/02/15/pdfs/GMD-1803-13.pdf#page=12","Abrir facsímil")</f>
        <v>Abrir facsímil</v>
      </c>
      <c r="K4252" s="15" t="s">
        <v>23</v>
      </c>
    </row>
    <row r="4253" spans="1:11" ht="42" customHeight="1">
      <c r="A4253" s="4" t="s">
        <v>10624</v>
      </c>
      <c r="B4253" s="5" t="s">
        <v>10625</v>
      </c>
      <c r="C4253" s="5" t="s">
        <v>18</v>
      </c>
      <c r="D4253" s="5" t="s">
        <v>19</v>
      </c>
      <c r="E4253" s="5" t="s">
        <v>85</v>
      </c>
      <c r="F4253" s="9">
        <v>49</v>
      </c>
      <c r="G4253" s="9">
        <v>522</v>
      </c>
      <c r="H4253" s="5" t="s">
        <v>21</v>
      </c>
      <c r="I4253" s="5" t="s">
        <v>10626</v>
      </c>
      <c r="J4253" s="12" t="str">
        <f>HYPERLINK("https://www.boe.es/gazeta/dias/1803/06/21/pdfs/GMD-1803-49.pdf#page=10","Abrir facsímil")</f>
        <v>Abrir facsímil</v>
      </c>
      <c r="K4253" s="15" t="s">
        <v>23</v>
      </c>
    </row>
    <row r="4254" spans="1:11" ht="42" customHeight="1">
      <c r="A4254" s="4" t="s">
        <v>10627</v>
      </c>
      <c r="B4254" s="5" t="s">
        <v>10628</v>
      </c>
      <c r="C4254" s="5" t="s">
        <v>26</v>
      </c>
      <c r="D4254" s="5" t="s">
        <v>27</v>
      </c>
      <c r="E4254" s="5" t="s">
        <v>191</v>
      </c>
      <c r="F4254" s="9">
        <v>34</v>
      </c>
      <c r="G4254" s="9">
        <v>358</v>
      </c>
      <c r="H4254" s="5" t="s">
        <v>21</v>
      </c>
      <c r="I4254" s="5" t="s">
        <v>10629</v>
      </c>
      <c r="J4254" s="12" t="str">
        <f>HYPERLINK("https://www.boe.es/gazeta/dias/1803/04/29/pdfs/GMD-1803-34.pdf#page=6","Abrir facsímil")</f>
        <v>Abrir facsímil</v>
      </c>
      <c r="K4254" s="15" t="s">
        <v>23</v>
      </c>
    </row>
    <row r="4255" spans="1:11" ht="42" customHeight="1">
      <c r="A4255" s="4" t="s">
        <v>10630</v>
      </c>
      <c r="B4255" s="5" t="s">
        <v>10630</v>
      </c>
      <c r="C4255" s="5" t="s">
        <v>40</v>
      </c>
      <c r="D4255" s="5" t="s">
        <v>41</v>
      </c>
      <c r="E4255" s="5" t="s">
        <v>272</v>
      </c>
      <c r="F4255" s="9">
        <v>25</v>
      </c>
      <c r="G4255" s="9">
        <v>264</v>
      </c>
      <c r="H4255" s="5" t="s">
        <v>21</v>
      </c>
      <c r="I4255" s="5" t="s">
        <v>10631</v>
      </c>
      <c r="J4255" s="12" t="str">
        <f>HYPERLINK("https://www.boe.es/gazeta/dias/1803/03/29/pdfs/GMD-1803-25.pdf#page=4","Abrir facsímil")</f>
        <v>Abrir facsímil</v>
      </c>
      <c r="K4255" s="15" t="s">
        <v>23</v>
      </c>
    </row>
    <row r="4256" spans="1:11" ht="42" customHeight="1">
      <c r="A4256" s="4" t="s">
        <v>10632</v>
      </c>
      <c r="B4256" s="5" t="s">
        <v>10633</v>
      </c>
      <c r="C4256" s="5" t="s">
        <v>26</v>
      </c>
      <c r="D4256" s="5" t="s">
        <v>27</v>
      </c>
      <c r="E4256" s="5" t="s">
        <v>20</v>
      </c>
      <c r="F4256" s="9">
        <v>97</v>
      </c>
      <c r="G4256" s="9">
        <v>1042</v>
      </c>
      <c r="H4256" s="5" t="s">
        <v>21</v>
      </c>
      <c r="I4256" s="5" t="s">
        <v>10634</v>
      </c>
      <c r="J4256" s="12" t="str">
        <f>HYPERLINK("https://www.boe.es/gazeta/dias/1803/12/02/pdfs/GMD-1803-97.pdf#page=6","Abrir facsímil")</f>
        <v>Abrir facsímil</v>
      </c>
      <c r="K4256" s="15" t="s">
        <v>23</v>
      </c>
    </row>
    <row r="4257" spans="1:11" ht="42" customHeight="1">
      <c r="A4257" s="4" t="s">
        <v>10635</v>
      </c>
      <c r="B4257" s="5" t="s">
        <v>10636</v>
      </c>
      <c r="C4257" s="5" t="s">
        <v>18</v>
      </c>
      <c r="D4257" s="5" t="s">
        <v>19</v>
      </c>
      <c r="E4257" s="5" t="s">
        <v>160</v>
      </c>
      <c r="F4257" s="9">
        <v>81</v>
      </c>
      <c r="G4257" s="9">
        <v>871</v>
      </c>
      <c r="H4257" s="5" t="s">
        <v>21</v>
      </c>
      <c r="I4257" s="5" t="s">
        <v>10637</v>
      </c>
      <c r="J4257" s="12" t="str">
        <f>HYPERLINK("https://www.boe.es/gazeta/dias/1803/10/07/pdfs/GMD-1803-81.pdf#page=7","Abrir facsímil")</f>
        <v>Abrir facsímil</v>
      </c>
      <c r="K4257" s="15" t="s">
        <v>23</v>
      </c>
    </row>
    <row r="4258" spans="1:11" ht="42" customHeight="1">
      <c r="A4258" s="4" t="s">
        <v>10638</v>
      </c>
      <c r="B4258" s="5" t="s">
        <v>10639</v>
      </c>
      <c r="C4258" s="5" t="s">
        <v>51</v>
      </c>
      <c r="D4258" s="5" t="s">
        <v>52</v>
      </c>
      <c r="E4258" s="5" t="s">
        <v>882</v>
      </c>
      <c r="F4258" s="9">
        <v>60</v>
      </c>
      <c r="G4258" s="9">
        <v>657</v>
      </c>
      <c r="H4258" s="5" t="s">
        <v>21</v>
      </c>
      <c r="I4258" s="5" t="s">
        <v>10640</v>
      </c>
      <c r="J4258" s="12" t="str">
        <f>HYPERLINK("https://www.boe.es/gazeta/dias/1803/07/29/pdfs/GMD-1803-60.pdf#page=9","Abrir facsímil")</f>
        <v>Abrir facsímil</v>
      </c>
      <c r="K4258" s="15" t="s">
        <v>23</v>
      </c>
    </row>
    <row r="4259" spans="1:11" ht="42" customHeight="1">
      <c r="A4259" s="4" t="s">
        <v>10641</v>
      </c>
      <c r="B4259" s="5" t="s">
        <v>10641</v>
      </c>
      <c r="C4259" s="5" t="s">
        <v>40</v>
      </c>
      <c r="D4259" s="5" t="s">
        <v>41</v>
      </c>
      <c r="E4259" s="5" t="s">
        <v>519</v>
      </c>
      <c r="F4259" s="9">
        <v>50</v>
      </c>
      <c r="G4259" s="9">
        <v>538</v>
      </c>
      <c r="H4259" s="5" t="s">
        <v>21</v>
      </c>
      <c r="I4259" s="5" t="s">
        <v>10642</v>
      </c>
      <c r="J4259" s="12" t="str">
        <f>HYPERLINK("https://www.boe.es/gazeta/dias/1803/06/24/pdfs/GMD-1803-50.pdf#page=6","Abrir facsímil")</f>
        <v>Abrir facsímil</v>
      </c>
      <c r="K4259" s="15" t="s">
        <v>23</v>
      </c>
    </row>
    <row r="4260" spans="1:11" ht="42" customHeight="1">
      <c r="A4260" s="4" t="s">
        <v>10643</v>
      </c>
      <c r="B4260" s="5" t="s">
        <v>10644</v>
      </c>
      <c r="C4260" s="5" t="s">
        <v>40</v>
      </c>
      <c r="D4260" s="5" t="s">
        <v>41</v>
      </c>
      <c r="E4260" s="5" t="s">
        <v>28</v>
      </c>
      <c r="F4260" s="9">
        <v>92</v>
      </c>
      <c r="G4260" s="9">
        <v>986</v>
      </c>
      <c r="H4260" s="5" t="s">
        <v>21</v>
      </c>
      <c r="I4260" s="5" t="s">
        <v>10645</v>
      </c>
      <c r="J4260" s="12" t="str">
        <f>HYPERLINK("https://www.boe.es/gazeta/dias/1803/11/15/pdfs/GMD-1803-92.pdf#page=6","Abrir facsímil")</f>
        <v>Abrir facsímil</v>
      </c>
      <c r="K4260" s="15" t="s">
        <v>23</v>
      </c>
    </row>
    <row r="4261" spans="1:11" ht="42" customHeight="1">
      <c r="A4261" s="4" t="s">
        <v>10646</v>
      </c>
      <c r="B4261" s="5" t="s">
        <v>10647</v>
      </c>
      <c r="C4261" s="5" t="s">
        <v>26</v>
      </c>
      <c r="D4261" s="5" t="s">
        <v>27</v>
      </c>
      <c r="E4261" s="5" t="s">
        <v>321</v>
      </c>
      <c r="F4261" s="9">
        <v>94</v>
      </c>
      <c r="G4261" s="9">
        <v>1006</v>
      </c>
      <c r="H4261" s="5" t="s">
        <v>21</v>
      </c>
      <c r="I4261" s="5" t="s">
        <v>10648</v>
      </c>
      <c r="J4261" s="12" t="str">
        <f>HYPERLINK("https://www.boe.es/gazeta/dias/1803/11/22/pdfs/GMD-1803-94.pdf#page=6","Abrir facsímil")</f>
        <v>Abrir facsímil</v>
      </c>
      <c r="K4261" s="15" t="s">
        <v>23</v>
      </c>
    </row>
    <row r="4262" spans="1:11" ht="42" customHeight="1">
      <c r="A4262" s="4" t="s">
        <v>10649</v>
      </c>
      <c r="B4262" s="5" t="s">
        <v>10650</v>
      </c>
      <c r="C4262" s="5" t="s">
        <v>26</v>
      </c>
      <c r="D4262" s="5" t="s">
        <v>27</v>
      </c>
      <c r="E4262" s="5" t="s">
        <v>231</v>
      </c>
      <c r="F4262" s="9">
        <v>26</v>
      </c>
      <c r="G4262" s="9">
        <v>273</v>
      </c>
      <c r="H4262" s="5" t="s">
        <v>21</v>
      </c>
      <c r="I4262" s="5" t="s">
        <v>10651</v>
      </c>
      <c r="J4262" s="12" t="str">
        <f>HYPERLINK("https://www.boe.es/gazeta/dias/1803/04/01/pdfs/GMD-1803-26.pdf#page=1","Abrir facsímil")</f>
        <v>Abrir facsímil</v>
      </c>
      <c r="K4262" s="15" t="s">
        <v>23</v>
      </c>
    </row>
    <row r="4263" spans="1:11" ht="42" customHeight="1">
      <c r="A4263" s="4" t="s">
        <v>10652</v>
      </c>
      <c r="B4263" s="5" t="s">
        <v>10653</v>
      </c>
      <c r="C4263" s="5" t="s">
        <v>26</v>
      </c>
      <c r="D4263" s="5" t="s">
        <v>27</v>
      </c>
      <c r="E4263" s="5" t="s">
        <v>289</v>
      </c>
      <c r="F4263" s="9">
        <v>38</v>
      </c>
      <c r="G4263" s="9">
        <v>394</v>
      </c>
      <c r="H4263" s="5" t="s">
        <v>21</v>
      </c>
      <c r="I4263" s="5" t="s">
        <v>10654</v>
      </c>
      <c r="J4263" s="12" t="str">
        <f>HYPERLINK("https://www.boe.es/gazeta/dias/1803/05/13/pdfs/GMD-1803-38.pdf#page=2","Abrir facsímil")</f>
        <v>Abrir facsímil</v>
      </c>
      <c r="K4263" s="15" t="s">
        <v>23</v>
      </c>
    </row>
    <row r="4264" spans="1:11" ht="42" customHeight="1">
      <c r="A4264" s="4" t="s">
        <v>10655</v>
      </c>
      <c r="B4264" s="5" t="s">
        <v>10656</v>
      </c>
      <c r="C4264" s="5" t="s">
        <v>26</v>
      </c>
      <c r="D4264" s="5" t="s">
        <v>27</v>
      </c>
      <c r="E4264" s="5" t="s">
        <v>389</v>
      </c>
      <c r="F4264" s="9">
        <v>41</v>
      </c>
      <c r="G4264" s="9">
        <v>427</v>
      </c>
      <c r="H4264" s="5" t="s">
        <v>21</v>
      </c>
      <c r="I4264" s="5" t="s">
        <v>10657</v>
      </c>
      <c r="J4264" s="12" t="str">
        <f>HYPERLINK("https://www.boe.es/gazeta/dias/1803/05/24/pdfs/GMD-1803-41.pdf#page=3","Abrir facsímil")</f>
        <v>Abrir facsímil</v>
      </c>
      <c r="K4264" s="15" t="s">
        <v>23</v>
      </c>
    </row>
    <row r="4265" spans="1:11" ht="42" customHeight="1">
      <c r="A4265" s="4" t="s">
        <v>10658</v>
      </c>
      <c r="B4265" s="5" t="s">
        <v>10658</v>
      </c>
      <c r="C4265" s="5" t="s">
        <v>26</v>
      </c>
      <c r="D4265" s="5" t="s">
        <v>27</v>
      </c>
      <c r="E4265" s="5" t="s">
        <v>261</v>
      </c>
      <c r="F4265" s="9">
        <v>70</v>
      </c>
      <c r="G4265" s="9">
        <v>763</v>
      </c>
      <c r="H4265" s="5" t="s">
        <v>21</v>
      </c>
      <c r="I4265" s="5" t="s">
        <v>10659</v>
      </c>
      <c r="J4265" s="12" t="str">
        <f>HYPERLINK("https://www.boe.es/gazeta/dias/1803/09/02/pdfs/GMD-1803-70.pdf#page=3","Abrir facsímil")</f>
        <v>Abrir facsímil</v>
      </c>
      <c r="K4265" s="15" t="s">
        <v>23</v>
      </c>
    </row>
    <row r="4266" spans="1:11" ht="42" customHeight="1">
      <c r="A4266" s="4" t="s">
        <v>10660</v>
      </c>
      <c r="B4266" s="5" t="s">
        <v>10661</v>
      </c>
      <c r="C4266" s="5" t="s">
        <v>51</v>
      </c>
      <c r="D4266" s="5" t="s">
        <v>52</v>
      </c>
      <c r="E4266" s="5" t="s">
        <v>231</v>
      </c>
      <c r="F4266" s="9">
        <v>26</v>
      </c>
      <c r="G4266" s="9">
        <v>284</v>
      </c>
      <c r="H4266" s="5" t="s">
        <v>21</v>
      </c>
      <c r="I4266" s="5" t="s">
        <v>10662</v>
      </c>
      <c r="J4266" s="12" t="str">
        <f>HYPERLINK("https://www.boe.es/gazeta/dias/1803/04/01/pdfs/GMD-1803-26.pdf#page=12","Abrir facsímil")</f>
        <v>Abrir facsímil</v>
      </c>
      <c r="K4266" s="15" t="s">
        <v>23</v>
      </c>
    </row>
    <row r="4267" spans="1:11" ht="42" customHeight="1">
      <c r="A4267" s="4" t="s">
        <v>10663</v>
      </c>
      <c r="B4267" s="5" t="s">
        <v>10664</v>
      </c>
      <c r="C4267" s="5" t="s">
        <v>26</v>
      </c>
      <c r="D4267" s="5" t="s">
        <v>27</v>
      </c>
      <c r="E4267" s="5" t="s">
        <v>88</v>
      </c>
      <c r="F4267" s="9">
        <v>18</v>
      </c>
      <c r="G4267" s="9">
        <v>188</v>
      </c>
      <c r="H4267" s="5" t="s">
        <v>21</v>
      </c>
      <c r="I4267" s="5" t="s">
        <v>10665</v>
      </c>
      <c r="J4267" s="12" t="str">
        <f>HYPERLINK("https://www.boe.es/gazeta/dias/1803/03/04/pdfs/GMD-1803-18.pdf#page=8","Abrir facsímil")</f>
        <v>Abrir facsímil</v>
      </c>
      <c r="K4267" s="15" t="s">
        <v>23</v>
      </c>
    </row>
    <row r="4268" spans="1:11" ht="42" customHeight="1">
      <c r="A4268" s="4" t="s">
        <v>10666</v>
      </c>
      <c r="B4268" s="5" t="s">
        <v>10666</v>
      </c>
      <c r="C4268" s="5" t="s">
        <v>51</v>
      </c>
      <c r="D4268" s="5" t="s">
        <v>52</v>
      </c>
      <c r="E4268" s="5" t="s">
        <v>148</v>
      </c>
      <c r="F4268" s="9">
        <v>15</v>
      </c>
      <c r="G4268" s="9">
        <v>159</v>
      </c>
      <c r="H4268" s="5" t="s">
        <v>21</v>
      </c>
      <c r="I4268" s="5" t="s">
        <v>10667</v>
      </c>
      <c r="J4268" s="12" t="str">
        <f>HYPERLINK("https://www.boe.es/gazeta/dias/1803/02/22/pdfs/GMD-1803-15.pdf#page=11","Abrir facsímil")</f>
        <v>Abrir facsímil</v>
      </c>
      <c r="K4268" s="15" t="s">
        <v>23</v>
      </c>
    </row>
    <row r="4269" spans="1:11" ht="42" customHeight="1">
      <c r="A4269" s="4" t="s">
        <v>10668</v>
      </c>
      <c r="B4269" s="5" t="s">
        <v>10668</v>
      </c>
      <c r="C4269" s="5" t="s">
        <v>26</v>
      </c>
      <c r="D4269" s="5" t="s">
        <v>27</v>
      </c>
      <c r="E4269" s="5" t="s">
        <v>328</v>
      </c>
      <c r="F4269" s="9">
        <v>54</v>
      </c>
      <c r="G4269" s="9">
        <v>590</v>
      </c>
      <c r="H4269" s="5" t="s">
        <v>21</v>
      </c>
      <c r="I4269" s="5" t="s">
        <v>10669</v>
      </c>
      <c r="J4269" s="12" t="str">
        <f>HYPERLINK("https://www.boe.es/gazeta/dias/1803/07/08/pdfs/GMD-1803-54.pdf#page=10","Abrir facsímil")</f>
        <v>Abrir facsímil</v>
      </c>
      <c r="K4269" s="15" t="s">
        <v>23</v>
      </c>
    </row>
    <row r="4270" spans="1:11" ht="42" customHeight="1">
      <c r="A4270" s="4" t="s">
        <v>10670</v>
      </c>
      <c r="B4270" s="5" t="s">
        <v>10671</v>
      </c>
      <c r="C4270" s="5" t="s">
        <v>51</v>
      </c>
      <c r="D4270" s="5" t="s">
        <v>52</v>
      </c>
      <c r="E4270" s="5" t="s">
        <v>174</v>
      </c>
      <c r="F4270" s="9">
        <v>21</v>
      </c>
      <c r="G4270" s="9">
        <v>226</v>
      </c>
      <c r="H4270" s="5" t="s">
        <v>21</v>
      </c>
      <c r="I4270" s="5" t="s">
        <v>10672</v>
      </c>
      <c r="J4270" s="12" t="str">
        <f>HYPERLINK("https://www.boe.es/gazeta/dias/1803/03/15/pdfs/GMD-1803-21.pdf#page=10","Abrir facsímil")</f>
        <v>Abrir facsímil</v>
      </c>
      <c r="K4270" s="15" t="s">
        <v>23</v>
      </c>
    </row>
    <row r="4271" spans="1:11" ht="42" customHeight="1">
      <c r="A4271" s="4" t="s">
        <v>10670</v>
      </c>
      <c r="B4271" s="5" t="s">
        <v>10671</v>
      </c>
      <c r="C4271" s="5" t="s">
        <v>225</v>
      </c>
      <c r="D4271" s="5" t="s">
        <v>226</v>
      </c>
      <c r="E4271" s="5" t="s">
        <v>609</v>
      </c>
      <c r="F4271" s="9">
        <v>57</v>
      </c>
      <c r="G4271" s="9">
        <v>622</v>
      </c>
      <c r="H4271" s="5" t="s">
        <v>21</v>
      </c>
      <c r="I4271" s="5" t="s">
        <v>10673</v>
      </c>
      <c r="J4271" s="12" t="str">
        <f>HYPERLINK("https://www.boe.es/gazeta/dias/1803/07/19/pdfs/GMD-C-1803-57.pdf#page=2","Abrir facsímil")</f>
        <v>Abrir facsímil</v>
      </c>
      <c r="K4271" s="15" t="s">
        <v>23</v>
      </c>
    </row>
    <row r="4272" spans="1:11" ht="42" customHeight="1">
      <c r="A4272" s="4" t="s">
        <v>10670</v>
      </c>
      <c r="B4272" s="5" t="s">
        <v>10671</v>
      </c>
      <c r="C4272" s="5" t="s">
        <v>51</v>
      </c>
      <c r="D4272" s="5" t="s">
        <v>52</v>
      </c>
      <c r="E4272" s="5" t="s">
        <v>113</v>
      </c>
      <c r="F4272" s="9">
        <v>93</v>
      </c>
      <c r="G4272" s="9">
        <v>997</v>
      </c>
      <c r="H4272" s="5" t="s">
        <v>21</v>
      </c>
      <c r="I4272" s="5" t="s">
        <v>10674</v>
      </c>
      <c r="J4272" s="12" t="str">
        <f>HYPERLINK("https://www.boe.es/gazeta/dias/1803/11/18/pdfs/GMD-1803-93.pdf#page=9","Abrir facsímil")</f>
        <v>Abrir facsímil</v>
      </c>
      <c r="K4272" s="15" t="s">
        <v>23</v>
      </c>
    </row>
    <row r="4273" spans="1:11" ht="42" customHeight="1">
      <c r="A4273" s="4" t="s">
        <v>10675</v>
      </c>
      <c r="B4273" s="5" t="s">
        <v>10676</v>
      </c>
      <c r="C4273" s="5" t="s">
        <v>26</v>
      </c>
      <c r="D4273" s="5" t="s">
        <v>27</v>
      </c>
      <c r="E4273" s="5" t="s">
        <v>795</v>
      </c>
      <c r="F4273" s="9">
        <v>98</v>
      </c>
      <c r="G4273" s="9">
        <v>1051</v>
      </c>
      <c r="H4273" s="5" t="s">
        <v>21</v>
      </c>
      <c r="I4273" s="5" t="s">
        <v>10677</v>
      </c>
      <c r="J4273" s="12" t="str">
        <f>HYPERLINK("https://www.boe.es/gazeta/dias/1803/12/06/pdfs/GMD-1803-98.pdf#page=7","Abrir facsímil")</f>
        <v>Abrir facsímil</v>
      </c>
      <c r="K4273" s="15" t="s">
        <v>23</v>
      </c>
    </row>
    <row r="4274" spans="1:11" ht="42" customHeight="1">
      <c r="A4274" s="4" t="s">
        <v>10678</v>
      </c>
      <c r="B4274" s="5" t="s">
        <v>10679</v>
      </c>
      <c r="C4274" s="5" t="s">
        <v>26</v>
      </c>
      <c r="D4274" s="5" t="s">
        <v>27</v>
      </c>
      <c r="E4274" s="5" t="s">
        <v>630</v>
      </c>
      <c r="F4274" s="9">
        <v>85</v>
      </c>
      <c r="G4274" s="9">
        <v>917</v>
      </c>
      <c r="H4274" s="5" t="s">
        <v>21</v>
      </c>
      <c r="I4274" s="5" t="s">
        <v>10680</v>
      </c>
      <c r="J4274" s="12" t="str">
        <f>HYPERLINK("https://www.boe.es/gazeta/dias/1803/10/21/pdfs/GMD-1803-85.pdf#page=9","Abrir facsímil")</f>
        <v>Abrir facsímil</v>
      </c>
      <c r="K4274" s="15" t="s">
        <v>23</v>
      </c>
    </row>
    <row r="4275" spans="1:11" ht="42" customHeight="1">
      <c r="A4275" s="4" t="s">
        <v>10681</v>
      </c>
      <c r="B4275" s="5" t="s">
        <v>10682</v>
      </c>
      <c r="C4275" s="5" t="s">
        <v>26</v>
      </c>
      <c r="D4275" s="5" t="s">
        <v>27</v>
      </c>
      <c r="E4275" s="5" t="s">
        <v>203</v>
      </c>
      <c r="F4275" s="9">
        <v>32</v>
      </c>
      <c r="G4275" s="9">
        <v>337</v>
      </c>
      <c r="H4275" s="5" t="s">
        <v>21</v>
      </c>
      <c r="I4275" s="5" t="s">
        <v>10683</v>
      </c>
      <c r="J4275" s="12" t="str">
        <f>HYPERLINK("https://www.boe.es/gazeta/dias/1803/04/22/pdfs/GMD-1803-32.pdf#page=9","Abrir facsímil")</f>
        <v>Abrir facsímil</v>
      </c>
      <c r="K4275" s="15" t="s">
        <v>23</v>
      </c>
    </row>
    <row r="4276" spans="1:11" ht="42" customHeight="1">
      <c r="A4276" s="4" t="s">
        <v>10684</v>
      </c>
      <c r="B4276" s="5" t="s">
        <v>10685</v>
      </c>
      <c r="C4276" s="5" t="s">
        <v>26</v>
      </c>
      <c r="D4276" s="5" t="s">
        <v>27</v>
      </c>
      <c r="E4276" s="5" t="s">
        <v>148</v>
      </c>
      <c r="F4276" s="9">
        <v>15</v>
      </c>
      <c r="G4276" s="9">
        <v>158</v>
      </c>
      <c r="H4276" s="5" t="s">
        <v>21</v>
      </c>
      <c r="I4276" s="5" t="s">
        <v>10686</v>
      </c>
      <c r="J4276" s="12" t="str">
        <f>HYPERLINK("https://www.boe.es/gazeta/dias/1803/02/22/pdfs/GMD-1803-15.pdf#page=10","Abrir facsímil")</f>
        <v>Abrir facsímil</v>
      </c>
      <c r="K4276" s="15" t="s">
        <v>23</v>
      </c>
    </row>
    <row r="4277" spans="1:11" ht="42" customHeight="1">
      <c r="A4277" s="4" t="s">
        <v>10687</v>
      </c>
      <c r="B4277" s="5" t="s">
        <v>10687</v>
      </c>
      <c r="C4277" s="5" t="s">
        <v>26</v>
      </c>
      <c r="D4277" s="5" t="s">
        <v>27</v>
      </c>
      <c r="E4277" s="5" t="s">
        <v>191</v>
      </c>
      <c r="F4277" s="9">
        <v>34</v>
      </c>
      <c r="G4277" s="9">
        <v>358</v>
      </c>
      <c r="H4277" s="5" t="s">
        <v>21</v>
      </c>
      <c r="I4277" s="5" t="s">
        <v>10688</v>
      </c>
      <c r="J4277" s="12" t="str">
        <f>HYPERLINK("https://www.boe.es/gazeta/dias/1803/04/29/pdfs/GMD-1803-34.pdf#page=6","Abrir facsímil")</f>
        <v>Abrir facsímil</v>
      </c>
      <c r="K4277" s="15" t="s">
        <v>23</v>
      </c>
    </row>
    <row r="4278" spans="1:11" ht="42" customHeight="1">
      <c r="A4278" s="4" t="s">
        <v>10689</v>
      </c>
      <c r="B4278" s="5" t="s">
        <v>10689</v>
      </c>
      <c r="C4278" s="5" t="s">
        <v>40</v>
      </c>
      <c r="D4278" s="5" t="s">
        <v>41</v>
      </c>
      <c r="E4278" s="5" t="s">
        <v>321</v>
      </c>
      <c r="F4278" s="9">
        <v>94</v>
      </c>
      <c r="G4278" s="9">
        <v>1006</v>
      </c>
      <c r="H4278" s="5" t="s">
        <v>21</v>
      </c>
      <c r="I4278" s="5" t="s">
        <v>10690</v>
      </c>
      <c r="J4278" s="12" t="str">
        <f>HYPERLINK("https://www.boe.es/gazeta/dias/1803/11/22/pdfs/GMD-1803-94.pdf#page=6","Abrir facsímil")</f>
        <v>Abrir facsímil</v>
      </c>
      <c r="K4278" s="15" t="s">
        <v>23</v>
      </c>
    </row>
    <row r="4279" spans="1:11" ht="42" customHeight="1">
      <c r="A4279" s="4" t="s">
        <v>10691</v>
      </c>
      <c r="B4279" s="5" t="s">
        <v>10692</v>
      </c>
      <c r="C4279" s="5" t="s">
        <v>26</v>
      </c>
      <c r="D4279" s="5" t="s">
        <v>27</v>
      </c>
      <c r="E4279" s="5" t="s">
        <v>71</v>
      </c>
      <c r="F4279" s="9">
        <v>39</v>
      </c>
      <c r="G4279" s="9">
        <v>414</v>
      </c>
      <c r="H4279" s="5" t="s">
        <v>21</v>
      </c>
      <c r="I4279" s="5" t="s">
        <v>10693</v>
      </c>
      <c r="J4279" s="12" t="str">
        <f>HYPERLINK("https://www.boe.es/gazeta/dias/1803/05/17/pdfs/GMD-1803-39.pdf#page=10","Abrir facsímil")</f>
        <v>Abrir facsímil</v>
      </c>
      <c r="K4279" s="15" t="s">
        <v>23</v>
      </c>
    </row>
    <row r="4280" spans="1:11" ht="42" customHeight="1">
      <c r="A4280" s="4" t="s">
        <v>10694</v>
      </c>
      <c r="B4280" s="5" t="s">
        <v>10695</v>
      </c>
      <c r="C4280" s="5" t="s">
        <v>26</v>
      </c>
      <c r="D4280" s="5" t="s">
        <v>27</v>
      </c>
      <c r="E4280" s="5" t="s">
        <v>156</v>
      </c>
      <c r="F4280" s="9">
        <v>2</v>
      </c>
      <c r="G4280" s="9">
        <v>17</v>
      </c>
      <c r="H4280" s="5" t="s">
        <v>21</v>
      </c>
      <c r="I4280" s="5" t="s">
        <v>10696</v>
      </c>
      <c r="J4280" s="12" t="str">
        <f>HYPERLINK("https://www.boe.es/gazeta/dias/1803/01/07/pdfs/GMD-1803-2.pdf#page=9","Abrir facsímil")</f>
        <v>Abrir facsímil</v>
      </c>
      <c r="K4280" s="15" t="s">
        <v>23</v>
      </c>
    </row>
    <row r="4281" spans="1:11" ht="42" customHeight="1">
      <c r="A4281" s="4" t="s">
        <v>10697</v>
      </c>
      <c r="B4281" s="5" t="s">
        <v>10698</v>
      </c>
      <c r="C4281" s="5" t="s">
        <v>26</v>
      </c>
      <c r="D4281" s="5" t="s">
        <v>27</v>
      </c>
      <c r="E4281" s="5" t="s">
        <v>148</v>
      </c>
      <c r="F4281" s="9">
        <v>15</v>
      </c>
      <c r="G4281" s="9">
        <v>158</v>
      </c>
      <c r="H4281" s="5" t="s">
        <v>21</v>
      </c>
      <c r="I4281" s="5" t="s">
        <v>10699</v>
      </c>
      <c r="J4281" s="12" t="str">
        <f>HYPERLINK("https://www.boe.es/gazeta/dias/1803/02/22/pdfs/GMD-1803-15.pdf#page=10","Abrir facsímil")</f>
        <v>Abrir facsímil</v>
      </c>
      <c r="K4281" s="15" t="s">
        <v>23</v>
      </c>
    </row>
    <row r="4282" spans="1:11" ht="42" customHeight="1">
      <c r="A4282" s="4" t="s">
        <v>10700</v>
      </c>
      <c r="B4282" s="5" t="s">
        <v>10700</v>
      </c>
      <c r="C4282" s="5" t="s">
        <v>40</v>
      </c>
      <c r="D4282" s="5" t="s">
        <v>41</v>
      </c>
      <c r="E4282" s="5" t="s">
        <v>630</v>
      </c>
      <c r="F4282" s="9">
        <v>85</v>
      </c>
      <c r="G4282" s="9">
        <v>914</v>
      </c>
      <c r="H4282" s="5" t="s">
        <v>21</v>
      </c>
      <c r="I4282" s="5" t="s">
        <v>10518</v>
      </c>
      <c r="J4282" s="12" t="str">
        <f>HYPERLINK("https://www.boe.es/gazeta/dias/1803/10/21/pdfs/GMD-1803-85.pdf#page=6","Abrir facsímil")</f>
        <v>Abrir facsímil</v>
      </c>
      <c r="K4282" s="15" t="s">
        <v>23</v>
      </c>
    </row>
    <row r="4283" spans="1:11" ht="42" customHeight="1">
      <c r="A4283" s="4" t="s">
        <v>10701</v>
      </c>
      <c r="B4283" s="5" t="s">
        <v>10702</v>
      </c>
      <c r="C4283" s="5" t="s">
        <v>26</v>
      </c>
      <c r="D4283" s="5" t="s">
        <v>27</v>
      </c>
      <c r="E4283" s="5" t="s">
        <v>191</v>
      </c>
      <c r="F4283" s="9">
        <v>34</v>
      </c>
      <c r="G4283" s="9">
        <v>358</v>
      </c>
      <c r="H4283" s="5" t="s">
        <v>21</v>
      </c>
      <c r="I4283" s="5" t="s">
        <v>10703</v>
      </c>
      <c r="J4283" s="12" t="str">
        <f>HYPERLINK("https://www.boe.es/gazeta/dias/1803/04/29/pdfs/GMD-1803-34.pdf#page=6","Abrir facsímil")</f>
        <v>Abrir facsímil</v>
      </c>
      <c r="K4283" s="15" t="s">
        <v>23</v>
      </c>
    </row>
    <row r="4284" spans="1:11" ht="42" customHeight="1">
      <c r="A4284" s="4" t="s">
        <v>10704</v>
      </c>
      <c r="B4284" s="5" t="s">
        <v>10705</v>
      </c>
      <c r="C4284" s="5" t="s">
        <v>51</v>
      </c>
      <c r="D4284" s="5" t="s">
        <v>52</v>
      </c>
      <c r="E4284" s="5" t="s">
        <v>321</v>
      </c>
      <c r="F4284" s="9">
        <v>94</v>
      </c>
      <c r="G4284" s="9">
        <v>1009</v>
      </c>
      <c r="H4284" s="5" t="s">
        <v>21</v>
      </c>
      <c r="I4284" s="5" t="s">
        <v>10706</v>
      </c>
      <c r="J4284" s="12" t="str">
        <f>HYPERLINK("https://www.boe.es/gazeta/dias/1803/11/22/pdfs/GMD-1803-94.pdf#page=9","Abrir facsímil")</f>
        <v>Abrir facsímil</v>
      </c>
      <c r="K4284" s="15" t="s">
        <v>23</v>
      </c>
    </row>
    <row r="4285" spans="1:11" ht="42" customHeight="1">
      <c r="A4285" s="4" t="s">
        <v>10707</v>
      </c>
      <c r="B4285" s="5" t="s">
        <v>10708</v>
      </c>
      <c r="C4285" s="5" t="s">
        <v>26</v>
      </c>
      <c r="D4285" s="5" t="s">
        <v>27</v>
      </c>
      <c r="E4285" s="5" t="s">
        <v>71</v>
      </c>
      <c r="F4285" s="9">
        <v>39</v>
      </c>
      <c r="G4285" s="9">
        <v>413</v>
      </c>
      <c r="H4285" s="5" t="s">
        <v>21</v>
      </c>
      <c r="I4285" s="5" t="s">
        <v>10709</v>
      </c>
      <c r="J4285" s="12" t="str">
        <f>HYPERLINK("https://www.boe.es/gazeta/dias/1803/05/17/pdfs/GMD-1803-39.pdf#page=9","Abrir facsímil")</f>
        <v>Abrir facsímil</v>
      </c>
      <c r="K4285" s="15" t="s">
        <v>23</v>
      </c>
    </row>
    <row r="4286" spans="1:11" ht="42" customHeight="1">
      <c r="A4286" s="4" t="s">
        <v>10710</v>
      </c>
      <c r="B4286" s="5" t="s">
        <v>10711</v>
      </c>
      <c r="C4286" s="5" t="s">
        <v>26</v>
      </c>
      <c r="D4286" s="5" t="s">
        <v>27</v>
      </c>
      <c r="E4286" s="5" t="s">
        <v>480</v>
      </c>
      <c r="F4286" s="9">
        <v>87</v>
      </c>
      <c r="G4286" s="9">
        <v>939</v>
      </c>
      <c r="H4286" s="5" t="s">
        <v>21</v>
      </c>
      <c r="I4286" s="5" t="s">
        <v>10712</v>
      </c>
      <c r="J4286" s="12" t="str">
        <f>HYPERLINK("https://www.boe.es/gazeta/dias/1803/10/28/pdfs/GMD-1803-87.pdf#page=7","Abrir facsímil")</f>
        <v>Abrir facsímil</v>
      </c>
      <c r="K4286" s="15" t="s">
        <v>23</v>
      </c>
    </row>
    <row r="4287" spans="1:11" ht="42" customHeight="1">
      <c r="A4287" s="4" t="s">
        <v>10713</v>
      </c>
      <c r="B4287" s="5" t="s">
        <v>10714</v>
      </c>
      <c r="C4287" s="5" t="s">
        <v>18</v>
      </c>
      <c r="D4287" s="5" t="s">
        <v>19</v>
      </c>
      <c r="E4287" s="5" t="s">
        <v>278</v>
      </c>
      <c r="F4287" s="9">
        <v>46</v>
      </c>
      <c r="G4287" s="9">
        <v>485</v>
      </c>
      <c r="H4287" s="5" t="s">
        <v>21</v>
      </c>
      <c r="I4287" s="5" t="s">
        <v>10715</v>
      </c>
      <c r="J4287" s="12" t="str">
        <f>HYPERLINK("https://www.boe.es/gazeta/dias/1803/06/10/pdfs/GMD-1803-46.pdf#page=9","Abrir facsímil")</f>
        <v>Abrir facsímil</v>
      </c>
      <c r="K4287" s="15" t="s">
        <v>23</v>
      </c>
    </row>
    <row r="4288" spans="1:11" ht="42" customHeight="1">
      <c r="A4288" s="4" t="s">
        <v>10716</v>
      </c>
      <c r="B4288" s="5" t="s">
        <v>10717</v>
      </c>
      <c r="C4288" s="5" t="s">
        <v>26</v>
      </c>
      <c r="D4288" s="5" t="s">
        <v>27</v>
      </c>
      <c r="E4288" s="5" t="s">
        <v>113</v>
      </c>
      <c r="F4288" s="9">
        <v>93</v>
      </c>
      <c r="G4288" s="9">
        <v>995</v>
      </c>
      <c r="H4288" s="5" t="s">
        <v>21</v>
      </c>
      <c r="I4288" s="5" t="s">
        <v>10718</v>
      </c>
      <c r="J4288" s="12" t="str">
        <f>HYPERLINK("https://www.boe.es/gazeta/dias/1803/11/18/pdfs/GMD-1803-93.pdf#page=7","Abrir facsímil")</f>
        <v>Abrir facsímil</v>
      </c>
      <c r="K4288" s="15" t="s">
        <v>23</v>
      </c>
    </row>
    <row r="4289" spans="1:11" ht="42" customHeight="1">
      <c r="A4289" s="4" t="s">
        <v>10719</v>
      </c>
      <c r="B4289" s="5" t="s">
        <v>10720</v>
      </c>
      <c r="C4289" s="5" t="s">
        <v>26</v>
      </c>
      <c r="D4289" s="5" t="s">
        <v>27</v>
      </c>
      <c r="E4289" s="5" t="s">
        <v>263</v>
      </c>
      <c r="F4289" s="9">
        <v>75</v>
      </c>
      <c r="G4289" s="9">
        <v>810</v>
      </c>
      <c r="H4289" s="5" t="s">
        <v>21</v>
      </c>
      <c r="I4289" s="5" t="s">
        <v>10721</v>
      </c>
      <c r="J4289" s="12" t="str">
        <f>HYPERLINK("https://www.boe.es/gazeta/dias/1803/09/16/pdfs/GMD-1803-75.pdf#page=6","Abrir facsímil")</f>
        <v>Abrir facsímil</v>
      </c>
      <c r="K4289" s="15" t="s">
        <v>23</v>
      </c>
    </row>
    <row r="4290" spans="1:11" ht="42" customHeight="1">
      <c r="A4290" s="4" t="s">
        <v>10722</v>
      </c>
      <c r="B4290" s="5" t="s">
        <v>10723</v>
      </c>
      <c r="C4290" s="5" t="s">
        <v>46</v>
      </c>
      <c r="D4290" s="5" t="s">
        <v>19</v>
      </c>
      <c r="E4290" s="5" t="s">
        <v>148</v>
      </c>
      <c r="F4290" s="9">
        <v>15</v>
      </c>
      <c r="G4290" s="9">
        <v>157</v>
      </c>
      <c r="H4290" s="5" t="s">
        <v>21</v>
      </c>
      <c r="I4290" s="5" t="s">
        <v>10724</v>
      </c>
      <c r="J4290" s="12" t="str">
        <f>HYPERLINK("https://www.boe.es/gazeta/dias/1803/02/22/pdfs/GMD-1803-15.pdf#page=9","Abrir facsímil")</f>
        <v>Abrir facsímil</v>
      </c>
      <c r="K4290" s="15" t="s">
        <v>23</v>
      </c>
    </row>
    <row r="4291" spans="1:11" ht="42" customHeight="1">
      <c r="A4291" s="4" t="s">
        <v>10725</v>
      </c>
      <c r="B4291" s="5" t="s">
        <v>10726</v>
      </c>
      <c r="C4291" s="5" t="s">
        <v>26</v>
      </c>
      <c r="D4291" s="5" t="s">
        <v>27</v>
      </c>
      <c r="E4291" s="5" t="s">
        <v>88</v>
      </c>
      <c r="F4291" s="9">
        <v>18</v>
      </c>
      <c r="G4291" s="9">
        <v>188</v>
      </c>
      <c r="H4291" s="5" t="s">
        <v>21</v>
      </c>
      <c r="I4291" s="5" t="s">
        <v>10727</v>
      </c>
      <c r="J4291" s="12" t="str">
        <f>HYPERLINK("https://www.boe.es/gazeta/dias/1803/03/04/pdfs/GMD-1803-18.pdf#page=8","Abrir facsímil")</f>
        <v>Abrir facsímil</v>
      </c>
      <c r="K4291" s="15" t="s">
        <v>23</v>
      </c>
    </row>
    <row r="4292" spans="1:11" ht="42" customHeight="1">
      <c r="A4292" s="4" t="s">
        <v>10728</v>
      </c>
      <c r="B4292" s="5" t="s">
        <v>10729</v>
      </c>
      <c r="C4292" s="5" t="s">
        <v>18</v>
      </c>
      <c r="D4292" s="5" t="s">
        <v>19</v>
      </c>
      <c r="E4292" s="5" t="s">
        <v>160</v>
      </c>
      <c r="F4292" s="9">
        <v>81</v>
      </c>
      <c r="G4292" s="9">
        <v>872</v>
      </c>
      <c r="H4292" s="5" t="s">
        <v>21</v>
      </c>
      <c r="I4292" s="5" t="s">
        <v>10730</v>
      </c>
      <c r="J4292" s="12" t="str">
        <f>HYPERLINK("https://www.boe.es/gazeta/dias/1803/10/07/pdfs/GMD-1803-81.pdf#page=8","Abrir facsímil")</f>
        <v>Abrir facsímil</v>
      </c>
      <c r="K4292" s="15" t="s">
        <v>23</v>
      </c>
    </row>
    <row r="4293" spans="1:11" ht="42" customHeight="1">
      <c r="A4293" s="4" t="s">
        <v>10731</v>
      </c>
      <c r="B4293" s="5" t="s">
        <v>10732</v>
      </c>
      <c r="C4293" s="5" t="s">
        <v>26</v>
      </c>
      <c r="D4293" s="5" t="s">
        <v>27</v>
      </c>
      <c r="E4293" s="5" t="s">
        <v>1846</v>
      </c>
      <c r="F4293" s="9">
        <v>89</v>
      </c>
      <c r="G4293" s="9">
        <v>959</v>
      </c>
      <c r="H4293" s="5" t="s">
        <v>21</v>
      </c>
      <c r="I4293" s="5" t="s">
        <v>10733</v>
      </c>
      <c r="J4293" s="12" t="str">
        <f>HYPERLINK("https://www.boe.es/gazeta/dias/1803/11/04/pdfs/GMD-1803-89.pdf#page=7","Abrir facsímil")</f>
        <v>Abrir facsímil</v>
      </c>
      <c r="K4293" s="15" t="s">
        <v>23</v>
      </c>
    </row>
    <row r="4294" spans="1:11" ht="42" customHeight="1">
      <c r="A4294" s="4" t="s">
        <v>10734</v>
      </c>
      <c r="B4294" s="5" t="s">
        <v>10734</v>
      </c>
      <c r="C4294" s="5" t="s">
        <v>18</v>
      </c>
      <c r="D4294" s="5" t="s">
        <v>19</v>
      </c>
      <c r="E4294" s="5" t="s">
        <v>361</v>
      </c>
      <c r="F4294" s="9">
        <v>62</v>
      </c>
      <c r="G4294" s="9">
        <v>675</v>
      </c>
      <c r="H4294" s="5" t="s">
        <v>21</v>
      </c>
      <c r="I4294" s="5" t="s">
        <v>10735</v>
      </c>
      <c r="J4294" s="12" t="str">
        <f>HYPERLINK("https://www.boe.es/gazeta/dias/1803/08/05/pdfs/GMD-1803-62.pdf#page=7","Abrir facsímil")</f>
        <v>Abrir facsímil</v>
      </c>
      <c r="K4294" s="15" t="s">
        <v>23</v>
      </c>
    </row>
    <row r="4295" spans="1:11" ht="42" customHeight="1">
      <c r="A4295" s="4" t="s">
        <v>10736</v>
      </c>
      <c r="B4295" s="5" t="s">
        <v>10736</v>
      </c>
      <c r="C4295" s="5" t="s">
        <v>26</v>
      </c>
      <c r="D4295" s="5" t="s">
        <v>27</v>
      </c>
      <c r="E4295" s="5" t="s">
        <v>1846</v>
      </c>
      <c r="F4295" s="9">
        <v>89</v>
      </c>
      <c r="G4295" s="9">
        <v>959</v>
      </c>
      <c r="H4295" s="5" t="s">
        <v>21</v>
      </c>
      <c r="I4295" s="5" t="s">
        <v>10737</v>
      </c>
      <c r="J4295" s="12" t="str">
        <f>HYPERLINK("https://www.boe.es/gazeta/dias/1803/11/04/pdfs/GMD-1803-89.pdf#page=7","Abrir facsímil")</f>
        <v>Abrir facsímil</v>
      </c>
      <c r="K4295" s="15" t="s">
        <v>23</v>
      </c>
    </row>
    <row r="4296" spans="1:11" ht="42" customHeight="1">
      <c r="A4296" s="4" t="s">
        <v>10738</v>
      </c>
      <c r="B4296" s="5" t="s">
        <v>10738</v>
      </c>
      <c r="C4296" s="5" t="s">
        <v>18</v>
      </c>
      <c r="D4296" s="5" t="s">
        <v>19</v>
      </c>
      <c r="E4296" s="5" t="s">
        <v>160</v>
      </c>
      <c r="F4296" s="9">
        <v>81</v>
      </c>
      <c r="G4296" s="9">
        <v>872</v>
      </c>
      <c r="H4296" s="5" t="s">
        <v>21</v>
      </c>
      <c r="I4296" s="5" t="s">
        <v>10739</v>
      </c>
      <c r="J4296" s="12" t="str">
        <f>HYPERLINK("https://www.boe.es/gazeta/dias/1803/10/07/pdfs/GMD-1803-81.pdf#page=8","Abrir facsímil")</f>
        <v>Abrir facsímil</v>
      </c>
      <c r="K4296" s="15" t="s">
        <v>23</v>
      </c>
    </row>
    <row r="4297" spans="1:11" ht="42" customHeight="1">
      <c r="A4297" s="4" t="s">
        <v>10740</v>
      </c>
      <c r="B4297" s="5" t="s">
        <v>10740</v>
      </c>
      <c r="C4297" s="5" t="s">
        <v>46</v>
      </c>
      <c r="D4297" s="5" t="s">
        <v>19</v>
      </c>
      <c r="E4297" s="5" t="s">
        <v>496</v>
      </c>
      <c r="F4297" s="9">
        <v>90</v>
      </c>
      <c r="G4297" s="9">
        <v>966</v>
      </c>
      <c r="H4297" s="5" t="s">
        <v>21</v>
      </c>
      <c r="I4297" s="5" t="s">
        <v>10741</v>
      </c>
      <c r="J4297" s="12" t="str">
        <f>HYPERLINK("https://www.boe.es/gazeta/dias/1803/11/08/pdfs/GMD-1803-90.pdf#page=6","Abrir facsímil")</f>
        <v>Abrir facsímil</v>
      </c>
      <c r="K4297" s="15" t="s">
        <v>23</v>
      </c>
    </row>
    <row r="4298" spans="1:11" ht="42" customHeight="1">
      <c r="A4298" s="4" t="s">
        <v>10742</v>
      </c>
      <c r="B4298" s="5" t="s">
        <v>10742</v>
      </c>
      <c r="C4298" s="5" t="s">
        <v>26</v>
      </c>
      <c r="D4298" s="5" t="s">
        <v>27</v>
      </c>
      <c r="E4298" s="5" t="s">
        <v>148</v>
      </c>
      <c r="F4298" s="9">
        <v>15</v>
      </c>
      <c r="G4298" s="9">
        <v>157</v>
      </c>
      <c r="H4298" s="5" t="s">
        <v>21</v>
      </c>
      <c r="I4298" s="5" t="s">
        <v>10743</v>
      </c>
      <c r="J4298" s="12" t="str">
        <f>HYPERLINK("https://www.boe.es/gazeta/dias/1803/02/22/pdfs/GMD-1803-15.pdf#page=9","Abrir facsímil")</f>
        <v>Abrir facsímil</v>
      </c>
      <c r="K4298" s="15" t="s">
        <v>23</v>
      </c>
    </row>
    <row r="4299" spans="1:11" ht="42" customHeight="1">
      <c r="A4299" s="4" t="s">
        <v>10744</v>
      </c>
      <c r="B4299" s="5" t="s">
        <v>10744</v>
      </c>
      <c r="C4299" s="5" t="s">
        <v>26</v>
      </c>
      <c r="D4299" s="5" t="s">
        <v>27</v>
      </c>
      <c r="E4299" s="5" t="s">
        <v>336</v>
      </c>
      <c r="F4299" s="9">
        <v>105</v>
      </c>
      <c r="G4299" s="9">
        <v>1123</v>
      </c>
      <c r="H4299" s="5" t="s">
        <v>21</v>
      </c>
      <c r="I4299" s="5" t="s">
        <v>10745</v>
      </c>
      <c r="J4299" s="12" t="str">
        <f>HYPERLINK("https://www.boe.es/gazeta/dias/1803/12/30/pdfs/GMD-1803-105.pdf#page=7","Abrir facsímil")</f>
        <v>Abrir facsímil</v>
      </c>
      <c r="K4299" s="15" t="s">
        <v>23</v>
      </c>
    </row>
    <row r="4300" spans="1:11" ht="42" customHeight="1">
      <c r="A4300" s="4" t="s">
        <v>10746</v>
      </c>
      <c r="B4300" s="5" t="s">
        <v>10747</v>
      </c>
      <c r="C4300" s="5" t="s">
        <v>26</v>
      </c>
      <c r="D4300" s="5" t="s">
        <v>27</v>
      </c>
      <c r="E4300" s="5" t="s">
        <v>88</v>
      </c>
      <c r="F4300" s="9">
        <v>18</v>
      </c>
      <c r="G4300" s="9">
        <v>188</v>
      </c>
      <c r="H4300" s="5" t="s">
        <v>21</v>
      </c>
      <c r="I4300" s="5" t="s">
        <v>10748</v>
      </c>
      <c r="J4300" s="12" t="str">
        <f>HYPERLINK("https://www.boe.es/gazeta/dias/1803/03/04/pdfs/GMD-1803-18.pdf#page=8","Abrir facsímil")</f>
        <v>Abrir facsímil</v>
      </c>
      <c r="K4300" s="15" t="s">
        <v>23</v>
      </c>
    </row>
    <row r="4301" spans="1:11" ht="42" customHeight="1">
      <c r="A4301" s="4" t="s">
        <v>10749</v>
      </c>
      <c r="B4301" s="5" t="s">
        <v>10750</v>
      </c>
      <c r="C4301" s="5" t="s">
        <v>80</v>
      </c>
      <c r="D4301" s="5" t="s">
        <v>81</v>
      </c>
      <c r="E4301" s="5" t="s">
        <v>501</v>
      </c>
      <c r="F4301" s="9">
        <v>22</v>
      </c>
      <c r="G4301" s="9">
        <v>240</v>
      </c>
      <c r="H4301" s="5" t="s">
        <v>21</v>
      </c>
      <c r="I4301" s="5" t="s">
        <v>10751</v>
      </c>
      <c r="J4301" s="12" t="str">
        <f>HYPERLINK("https://www.boe.es/gazeta/dias/1803/03/18/pdfs/GMD-1803-22.pdf#page=12","Abrir facsímil")</f>
        <v>Abrir facsímil</v>
      </c>
      <c r="K4301" s="15" t="s">
        <v>23</v>
      </c>
    </row>
    <row r="4302" spans="1:11" ht="42" customHeight="1">
      <c r="A4302" s="4" t="s">
        <v>10752</v>
      </c>
      <c r="B4302" s="5" t="s">
        <v>10753</v>
      </c>
      <c r="C4302" s="5" t="s">
        <v>80</v>
      </c>
      <c r="D4302" s="5" t="s">
        <v>81</v>
      </c>
      <c r="E4302" s="5" t="s">
        <v>68</v>
      </c>
      <c r="F4302" s="9">
        <v>23</v>
      </c>
      <c r="G4302" s="9">
        <v>248</v>
      </c>
      <c r="H4302" s="5" t="s">
        <v>21</v>
      </c>
      <c r="I4302" s="5" t="s">
        <v>10754</v>
      </c>
      <c r="J4302" s="12" t="str">
        <f>HYPERLINK("https://www.boe.es/gazeta/dias/1803/03/22/pdfs/GMD-1803-23.pdf#page=8","Abrir facsímil")</f>
        <v>Abrir facsímil</v>
      </c>
      <c r="K4302" s="15" t="s">
        <v>23</v>
      </c>
    </row>
    <row r="4303" spans="1:11" ht="42" customHeight="1">
      <c r="A4303" s="4" t="s">
        <v>10755</v>
      </c>
      <c r="B4303" s="5" t="s">
        <v>10756</v>
      </c>
      <c r="C4303" s="5" t="s">
        <v>26</v>
      </c>
      <c r="D4303" s="5" t="s">
        <v>27</v>
      </c>
      <c r="E4303" s="5" t="s">
        <v>657</v>
      </c>
      <c r="F4303" s="9">
        <v>24</v>
      </c>
      <c r="G4303" s="9">
        <v>256</v>
      </c>
      <c r="H4303" s="5" t="s">
        <v>21</v>
      </c>
      <c r="I4303" s="5" t="s">
        <v>10757</v>
      </c>
      <c r="J4303" s="12" t="str">
        <f>HYPERLINK("https://www.boe.es/gazeta/dias/1803/03/25/pdfs/GMD-1803-24.pdf#page=8","Abrir facsímil")</f>
        <v>Abrir facsímil</v>
      </c>
      <c r="K4303" s="15" t="s">
        <v>23</v>
      </c>
    </row>
    <row r="4304" spans="1:11" ht="42" customHeight="1">
      <c r="A4304" s="4" t="s">
        <v>10758</v>
      </c>
      <c r="B4304" s="5" t="s">
        <v>10759</v>
      </c>
      <c r="C4304" s="5" t="s">
        <v>26</v>
      </c>
      <c r="D4304" s="5" t="s">
        <v>27</v>
      </c>
      <c r="E4304" s="5" t="s">
        <v>278</v>
      </c>
      <c r="F4304" s="9">
        <v>46</v>
      </c>
      <c r="G4304" s="9">
        <v>486</v>
      </c>
      <c r="H4304" s="5" t="s">
        <v>21</v>
      </c>
      <c r="I4304" s="5" t="s">
        <v>10760</v>
      </c>
      <c r="J4304" s="12" t="str">
        <f>HYPERLINK("https://www.boe.es/gazeta/dias/1803/06/10/pdfs/GMD-1803-46.pdf#page=10","Abrir facsímil")</f>
        <v>Abrir facsímil</v>
      </c>
      <c r="K4304" s="15" t="s">
        <v>23</v>
      </c>
    </row>
    <row r="4305" spans="1:11" ht="42" customHeight="1">
      <c r="A4305" s="4" t="s">
        <v>10761</v>
      </c>
      <c r="B4305" s="5" t="s">
        <v>10762</v>
      </c>
      <c r="C4305" s="5" t="s">
        <v>26</v>
      </c>
      <c r="D4305" s="5" t="s">
        <v>27</v>
      </c>
      <c r="E4305" s="5" t="s">
        <v>784</v>
      </c>
      <c r="F4305" s="9">
        <v>86</v>
      </c>
      <c r="G4305" s="9">
        <v>930</v>
      </c>
      <c r="H4305" s="5" t="s">
        <v>21</v>
      </c>
      <c r="I4305" s="5" t="s">
        <v>10763</v>
      </c>
      <c r="J4305" s="12" t="str">
        <f>HYPERLINK("https://www.boe.es/gazeta/dias/1803/10/25/pdfs/GMD-1803-86.pdf#page=10","Abrir facsímil")</f>
        <v>Abrir facsímil</v>
      </c>
      <c r="K4305" s="15" t="s">
        <v>23</v>
      </c>
    </row>
    <row r="4306" spans="1:11" ht="42" customHeight="1">
      <c r="A4306" s="4" t="s">
        <v>10764</v>
      </c>
      <c r="B4306" s="5" t="s">
        <v>10765</v>
      </c>
      <c r="C4306" s="5" t="s">
        <v>51</v>
      </c>
      <c r="D4306" s="5" t="s">
        <v>52</v>
      </c>
      <c r="E4306" s="5" t="s">
        <v>571</v>
      </c>
      <c r="F4306" s="9">
        <v>103</v>
      </c>
      <c r="G4306" s="9">
        <v>1106</v>
      </c>
      <c r="H4306" s="5" t="s">
        <v>21</v>
      </c>
      <c r="I4306" s="5" t="s">
        <v>10766</v>
      </c>
      <c r="J4306" s="12" t="str">
        <f>HYPERLINK("https://www.boe.es/gazeta/dias/1803/12/23/pdfs/GMD-1803-103.pdf#page=6","Abrir facsímil")</f>
        <v>Abrir facsímil</v>
      </c>
      <c r="K4306" s="15" t="s">
        <v>23</v>
      </c>
    </row>
    <row r="4307" spans="1:11" ht="42" customHeight="1">
      <c r="A4307" s="4" t="s">
        <v>10767</v>
      </c>
      <c r="B4307" s="5" t="s">
        <v>10767</v>
      </c>
      <c r="C4307" s="5" t="s">
        <v>40</v>
      </c>
      <c r="D4307" s="5" t="s">
        <v>41</v>
      </c>
      <c r="E4307" s="5" t="s">
        <v>321</v>
      </c>
      <c r="F4307" s="9">
        <v>94</v>
      </c>
      <c r="G4307" s="9">
        <v>1008</v>
      </c>
      <c r="H4307" s="5" t="s">
        <v>21</v>
      </c>
      <c r="I4307" s="5" t="s">
        <v>10768</v>
      </c>
      <c r="J4307" s="12" t="str">
        <f>HYPERLINK("https://www.boe.es/gazeta/dias/1803/11/22/pdfs/GMD-1803-94.pdf#page=8","Abrir facsímil")</f>
        <v>Abrir facsímil</v>
      </c>
      <c r="K4307" s="15" t="s">
        <v>23</v>
      </c>
    </row>
    <row r="4308" spans="1:11" ht="42" customHeight="1">
      <c r="A4308" s="4" t="s">
        <v>10767</v>
      </c>
      <c r="B4308" s="5" t="s">
        <v>10767</v>
      </c>
      <c r="C4308" s="5" t="s">
        <v>51</v>
      </c>
      <c r="D4308" s="5" t="s">
        <v>52</v>
      </c>
      <c r="E4308" s="5" t="s">
        <v>321</v>
      </c>
      <c r="F4308" s="9">
        <v>94</v>
      </c>
      <c r="G4308" s="9">
        <v>1009</v>
      </c>
      <c r="H4308" s="5" t="s">
        <v>21</v>
      </c>
      <c r="I4308" s="5" t="s">
        <v>10769</v>
      </c>
      <c r="J4308" s="12" t="str">
        <f>HYPERLINK("https://www.boe.es/gazeta/dias/1803/11/22/pdfs/GMD-1803-94.pdf#page=9","Abrir facsímil")</f>
        <v>Abrir facsímil</v>
      </c>
      <c r="K4308" s="15" t="s">
        <v>23</v>
      </c>
    </row>
    <row r="4309" spans="1:11" ht="42" customHeight="1">
      <c r="A4309" s="4" t="s">
        <v>10770</v>
      </c>
      <c r="B4309" s="5" t="s">
        <v>10771</v>
      </c>
      <c r="C4309" s="5" t="s">
        <v>80</v>
      </c>
      <c r="D4309" s="5" t="s">
        <v>81</v>
      </c>
      <c r="E4309" s="5" t="s">
        <v>369</v>
      </c>
      <c r="F4309" s="9">
        <v>100</v>
      </c>
      <c r="G4309" s="9">
        <v>1075</v>
      </c>
      <c r="H4309" s="5" t="s">
        <v>21</v>
      </c>
      <c r="I4309" s="5" t="s">
        <v>10772</v>
      </c>
      <c r="J4309" s="12" t="str">
        <f>HYPERLINK("https://www.boe.es/gazeta/dias/1803/12/13/pdfs/GMD-1803-100.pdf#page=11","Abrir facsímil")</f>
        <v>Abrir facsímil</v>
      </c>
      <c r="K4309" s="15" t="s">
        <v>23</v>
      </c>
    </row>
    <row r="4310" spans="1:11" ht="42" customHeight="1">
      <c r="A4310" s="4" t="s">
        <v>10773</v>
      </c>
      <c r="B4310" s="5" t="s">
        <v>10774</v>
      </c>
      <c r="C4310" s="5" t="s">
        <v>18</v>
      </c>
      <c r="D4310" s="5" t="s">
        <v>19</v>
      </c>
      <c r="E4310" s="5" t="s">
        <v>109</v>
      </c>
      <c r="F4310" s="9">
        <v>102</v>
      </c>
      <c r="G4310" s="9">
        <v>1096</v>
      </c>
      <c r="H4310" s="5" t="s">
        <v>21</v>
      </c>
      <c r="I4310" s="5" t="s">
        <v>10775</v>
      </c>
      <c r="J4310" s="12" t="str">
        <f>HYPERLINK("https://www.boe.es/gazeta/dias/1803/12/20/pdfs/GMD-1803-102.pdf#page=8","Abrir facsímil")</f>
        <v>Abrir facsímil</v>
      </c>
      <c r="K4310" s="15" t="s">
        <v>23</v>
      </c>
    </row>
    <row r="4311" spans="1:11" ht="42" customHeight="1">
      <c r="A4311" s="4" t="s">
        <v>10776</v>
      </c>
      <c r="B4311" s="5" t="s">
        <v>10776</v>
      </c>
      <c r="C4311" s="5" t="s">
        <v>40</v>
      </c>
      <c r="D4311" s="5" t="s">
        <v>41</v>
      </c>
      <c r="E4311" s="5" t="s">
        <v>20</v>
      </c>
      <c r="F4311" s="9">
        <v>97</v>
      </c>
      <c r="G4311" s="9">
        <v>1040</v>
      </c>
      <c r="H4311" s="5" t="s">
        <v>21</v>
      </c>
      <c r="I4311" s="5" t="s">
        <v>10777</v>
      </c>
      <c r="J4311" s="12" t="str">
        <f>HYPERLINK("https://www.boe.es/gazeta/dias/1803/12/02/pdfs/GMD-1803-97.pdf#page=4","Abrir facsímil")</f>
        <v>Abrir facsímil</v>
      </c>
      <c r="K4311" s="15" t="s">
        <v>23</v>
      </c>
    </row>
    <row r="4312" spans="1:11" ht="42" customHeight="1">
      <c r="A4312" s="4" t="s">
        <v>10778</v>
      </c>
      <c r="B4312" s="5" t="s">
        <v>10778</v>
      </c>
      <c r="C4312" s="5" t="s">
        <v>40</v>
      </c>
      <c r="D4312" s="5" t="s">
        <v>41</v>
      </c>
      <c r="E4312" s="5" t="s">
        <v>293</v>
      </c>
      <c r="F4312" s="9">
        <v>45</v>
      </c>
      <c r="G4312" s="9">
        <v>469</v>
      </c>
      <c r="H4312" s="5" t="s">
        <v>21</v>
      </c>
      <c r="I4312" s="5" t="s">
        <v>10779</v>
      </c>
      <c r="J4312" s="12" t="str">
        <f>HYPERLINK("https://www.boe.es/gazeta/dias/1803/06/07/pdfs/GMD-1803-45.pdf#page=5","Abrir facsímil")</f>
        <v>Abrir facsímil</v>
      </c>
      <c r="K4312" s="15" t="s">
        <v>23</v>
      </c>
    </row>
    <row r="4313" spans="1:11" ht="42" customHeight="1">
      <c r="A4313" s="4" t="s">
        <v>10780</v>
      </c>
      <c r="B4313" s="5" t="s">
        <v>10780</v>
      </c>
      <c r="C4313" s="5" t="s">
        <v>40</v>
      </c>
      <c r="D4313" s="5" t="s">
        <v>41</v>
      </c>
      <c r="E4313" s="5" t="s">
        <v>189</v>
      </c>
      <c r="F4313" s="9">
        <v>9</v>
      </c>
      <c r="G4313" s="9">
        <v>88</v>
      </c>
      <c r="H4313" s="5" t="s">
        <v>21</v>
      </c>
      <c r="I4313" s="5" t="s">
        <v>10781</v>
      </c>
      <c r="J4313" s="12" t="str">
        <f>HYPERLINK("https://www.boe.es/gazeta/dias/1803/02/01/pdfs/GMD-1803-9.pdf#page=4","Abrir facsímil")</f>
        <v>Abrir facsímil</v>
      </c>
      <c r="K4313" s="15" t="s">
        <v>23</v>
      </c>
    </row>
    <row r="4314" spans="1:11" ht="42" customHeight="1">
      <c r="A4314" s="4" t="s">
        <v>10780</v>
      </c>
      <c r="B4314" s="5" t="s">
        <v>10780</v>
      </c>
      <c r="C4314" s="5" t="s">
        <v>40</v>
      </c>
      <c r="D4314" s="5" t="s">
        <v>41</v>
      </c>
      <c r="E4314" s="5" t="s">
        <v>75</v>
      </c>
      <c r="F4314" s="9">
        <v>56</v>
      </c>
      <c r="G4314" s="9">
        <v>606</v>
      </c>
      <c r="H4314" s="5" t="s">
        <v>21</v>
      </c>
      <c r="I4314" s="5" t="s">
        <v>10782</v>
      </c>
      <c r="J4314" s="12" t="str">
        <f>HYPERLINK("https://www.boe.es/gazeta/dias/1803/07/15/pdfs/GMD-1803-56.pdf#page=2","Abrir facsímil")</f>
        <v>Abrir facsímil</v>
      </c>
      <c r="K4314" s="15" t="s">
        <v>23</v>
      </c>
    </row>
    <row r="4315" spans="1:11" ht="42" customHeight="1">
      <c r="A4315" s="4" t="s">
        <v>10780</v>
      </c>
      <c r="B4315" s="5" t="s">
        <v>10780</v>
      </c>
      <c r="C4315" s="5" t="s">
        <v>40</v>
      </c>
      <c r="D4315" s="5" t="s">
        <v>41</v>
      </c>
      <c r="E4315" s="5" t="s">
        <v>75</v>
      </c>
      <c r="F4315" s="9">
        <v>56</v>
      </c>
      <c r="G4315" s="9">
        <v>607</v>
      </c>
      <c r="H4315" s="5" t="s">
        <v>21</v>
      </c>
      <c r="I4315" s="5" t="s">
        <v>10783</v>
      </c>
      <c r="J4315" s="12" t="str">
        <f>HYPERLINK("https://www.boe.es/gazeta/dias/1803/07/15/pdfs/GMD-1803-56.pdf#page=3","Abrir facsímil")</f>
        <v>Abrir facsímil</v>
      </c>
      <c r="K4315" s="15" t="s">
        <v>23</v>
      </c>
    </row>
    <row r="4316" spans="1:11" ht="42" customHeight="1">
      <c r="A4316" s="4" t="s">
        <v>10784</v>
      </c>
      <c r="B4316" s="5" t="s">
        <v>10785</v>
      </c>
      <c r="C4316" s="5" t="s">
        <v>26</v>
      </c>
      <c r="D4316" s="5" t="s">
        <v>27</v>
      </c>
      <c r="E4316" s="5" t="s">
        <v>174</v>
      </c>
      <c r="F4316" s="9">
        <v>21</v>
      </c>
      <c r="G4316" s="9">
        <v>223</v>
      </c>
      <c r="H4316" s="5" t="s">
        <v>21</v>
      </c>
      <c r="I4316" s="5" t="s">
        <v>10786</v>
      </c>
      <c r="J4316" s="12" t="str">
        <f>HYPERLINK("https://www.boe.es/gazeta/dias/1803/03/15/pdfs/GMD-1803-21.pdf#page=7","Abrir facsímil")</f>
        <v>Abrir facsímil</v>
      </c>
      <c r="K4316" s="15" t="s">
        <v>23</v>
      </c>
    </row>
    <row r="4317" spans="1:11" ht="42" customHeight="1">
      <c r="A4317" s="4" t="s">
        <v>10787</v>
      </c>
      <c r="B4317" s="5" t="s">
        <v>10788</v>
      </c>
      <c r="C4317" s="5" t="s">
        <v>51</v>
      </c>
      <c r="D4317" s="5" t="s">
        <v>52</v>
      </c>
      <c r="E4317" s="5" t="s">
        <v>919</v>
      </c>
      <c r="F4317" s="9">
        <v>69</v>
      </c>
      <c r="G4317" s="9">
        <v>750</v>
      </c>
      <c r="H4317" s="5" t="s">
        <v>21</v>
      </c>
      <c r="I4317" s="5" t="s">
        <v>10789</v>
      </c>
      <c r="J4317" s="12" t="str">
        <f>HYPERLINK("https://www.boe.es/gazeta/dias/1803/08/30/pdfs/GMD-1803-69.pdf#page=6","Abrir facsímil")</f>
        <v>Abrir facsímil</v>
      </c>
      <c r="K4317" s="15" t="s">
        <v>23</v>
      </c>
    </row>
    <row r="4318" spans="1:11" ht="42" customHeight="1">
      <c r="A4318" s="4" t="s">
        <v>10790</v>
      </c>
      <c r="B4318" s="5" t="s">
        <v>10791</v>
      </c>
      <c r="C4318" s="5" t="s">
        <v>26</v>
      </c>
      <c r="D4318" s="5" t="s">
        <v>27</v>
      </c>
      <c r="E4318" s="5" t="s">
        <v>211</v>
      </c>
      <c r="F4318" s="9">
        <v>71</v>
      </c>
      <c r="G4318" s="9">
        <v>778</v>
      </c>
      <c r="H4318" s="5" t="s">
        <v>21</v>
      </c>
      <c r="I4318" s="5" t="s">
        <v>10792</v>
      </c>
      <c r="J4318" s="12" t="str">
        <f>HYPERLINK("https://www.boe.es/gazeta/dias/1803/09/06/pdfs/GMD-1803-71.pdf#page=10","Abrir facsímil")</f>
        <v>Abrir facsímil</v>
      </c>
      <c r="K4318" s="15" t="s">
        <v>23</v>
      </c>
    </row>
    <row r="4319" spans="1:11" ht="42" customHeight="1">
      <c r="A4319" s="4" t="s">
        <v>10793</v>
      </c>
      <c r="B4319" s="5" t="s">
        <v>10794</v>
      </c>
      <c r="C4319" s="5" t="s">
        <v>26</v>
      </c>
      <c r="D4319" s="5" t="s">
        <v>27</v>
      </c>
      <c r="E4319" s="5" t="s">
        <v>417</v>
      </c>
      <c r="F4319" s="9">
        <v>72</v>
      </c>
      <c r="G4319" s="9">
        <v>786</v>
      </c>
      <c r="H4319" s="5" t="s">
        <v>21</v>
      </c>
      <c r="I4319" s="5" t="s">
        <v>10795</v>
      </c>
      <c r="J4319" s="12" t="str">
        <f>HYPERLINK("https://www.boe.es/gazeta/dias/1803/09/09/pdfs/GMD-1803-72.pdf#page=6","Abrir facsímil")</f>
        <v>Abrir facsímil</v>
      </c>
      <c r="K4319" s="15" t="s">
        <v>23</v>
      </c>
    </row>
    <row r="4320" spans="1:11" ht="42" customHeight="1">
      <c r="A4320" s="4" t="s">
        <v>10796</v>
      </c>
      <c r="B4320" s="5" t="s">
        <v>10797</v>
      </c>
      <c r="C4320" s="5" t="s">
        <v>80</v>
      </c>
      <c r="D4320" s="5" t="s">
        <v>81</v>
      </c>
      <c r="E4320" s="5" t="s">
        <v>20</v>
      </c>
      <c r="F4320" s="9">
        <v>97</v>
      </c>
      <c r="G4320" s="9">
        <v>1044</v>
      </c>
      <c r="H4320" s="5" t="s">
        <v>21</v>
      </c>
      <c r="I4320" s="5" t="s">
        <v>10798</v>
      </c>
      <c r="J4320" s="12" t="str">
        <f>HYPERLINK("https://www.boe.es/gazeta/dias/1803/12/02/pdfs/GMD-1803-97.pdf#page=8","Abrir facsímil")</f>
        <v>Abrir facsímil</v>
      </c>
      <c r="K4320" s="15" t="s">
        <v>23</v>
      </c>
    </row>
    <row r="4321" spans="1:11" ht="42" customHeight="1">
      <c r="A4321" s="4" t="s">
        <v>10799</v>
      </c>
      <c r="B4321" s="5" t="s">
        <v>10800</v>
      </c>
      <c r="C4321" s="5" t="s">
        <v>26</v>
      </c>
      <c r="D4321" s="5" t="s">
        <v>27</v>
      </c>
      <c r="E4321" s="5" t="s">
        <v>124</v>
      </c>
      <c r="F4321" s="9">
        <v>20</v>
      </c>
      <c r="G4321" s="9">
        <v>209</v>
      </c>
      <c r="H4321" s="5" t="s">
        <v>21</v>
      </c>
      <c r="I4321" s="5" t="s">
        <v>10801</v>
      </c>
      <c r="J4321" s="12" t="str">
        <f>HYPERLINK("https://www.boe.es/gazeta/dias/1803/03/11/pdfs/GMD-1803-20.pdf#page=5","Abrir facsímil")</f>
        <v>Abrir facsímil</v>
      </c>
      <c r="K4321" s="15" t="s">
        <v>23</v>
      </c>
    </row>
    <row r="4322" spans="1:11" ht="42" customHeight="1">
      <c r="A4322" s="4" t="s">
        <v>10802</v>
      </c>
      <c r="B4322" s="5" t="s">
        <v>10802</v>
      </c>
      <c r="C4322" s="5" t="s">
        <v>26</v>
      </c>
      <c r="D4322" s="5" t="s">
        <v>27</v>
      </c>
      <c r="E4322" s="5" t="s">
        <v>571</v>
      </c>
      <c r="F4322" s="9">
        <v>103</v>
      </c>
      <c r="G4322" s="9">
        <v>1103</v>
      </c>
      <c r="H4322" s="5" t="s">
        <v>21</v>
      </c>
      <c r="I4322" s="5" t="s">
        <v>10803</v>
      </c>
      <c r="J4322" s="12" t="str">
        <f>HYPERLINK("https://www.boe.es/gazeta/dias/1803/12/23/pdfs/GMD-1803-103.pdf#page=3","Abrir facsímil")</f>
        <v>Abrir facsímil</v>
      </c>
      <c r="K4322" s="15" t="s">
        <v>23</v>
      </c>
    </row>
    <row r="4323" spans="1:11" ht="42" customHeight="1">
      <c r="A4323" s="4" t="s">
        <v>10804</v>
      </c>
      <c r="B4323" s="5" t="s">
        <v>10805</v>
      </c>
      <c r="C4323" s="5" t="s">
        <v>51</v>
      </c>
      <c r="D4323" s="5" t="s">
        <v>52</v>
      </c>
      <c r="E4323" s="5" t="s">
        <v>61</v>
      </c>
      <c r="F4323" s="9">
        <v>67</v>
      </c>
      <c r="G4323" s="9">
        <v>729</v>
      </c>
      <c r="H4323" s="5" t="s">
        <v>21</v>
      </c>
      <c r="I4323" s="5" t="s">
        <v>10806</v>
      </c>
      <c r="J4323" s="12" t="str">
        <f>HYPERLINK("https://www.boe.es/gazeta/dias/1803/08/23/pdfs/GMD-1803-67.pdf#page=9","Abrir facsímil")</f>
        <v>Abrir facsímil</v>
      </c>
      <c r="K4323" s="15" t="s">
        <v>23</v>
      </c>
    </row>
    <row r="4324" spans="1:11" ht="42" customHeight="1">
      <c r="A4324" s="4" t="s">
        <v>10807</v>
      </c>
      <c r="B4324" s="5" t="s">
        <v>10808</v>
      </c>
      <c r="C4324" s="5" t="s">
        <v>26</v>
      </c>
      <c r="D4324" s="5" t="s">
        <v>27</v>
      </c>
      <c r="E4324" s="5" t="s">
        <v>250</v>
      </c>
      <c r="F4324" s="9">
        <v>4</v>
      </c>
      <c r="G4324" s="9">
        <v>35</v>
      </c>
      <c r="H4324" s="5" t="s">
        <v>21</v>
      </c>
      <c r="I4324" s="5" t="s">
        <v>10809</v>
      </c>
      <c r="J4324" s="12" t="str">
        <f>HYPERLINK("https://www.boe.es/gazeta/dias/1803/01/14/pdfs/GMD-1803-4.pdf#page=7","Abrir facsímil")</f>
        <v>Abrir facsímil</v>
      </c>
      <c r="K4324" s="15" t="s">
        <v>23</v>
      </c>
    </row>
    <row r="4325" spans="1:11" ht="42" customHeight="1">
      <c r="A4325" s="4" t="s">
        <v>10810</v>
      </c>
      <c r="B4325" s="5" t="s">
        <v>10811</v>
      </c>
      <c r="C4325" s="5" t="s">
        <v>46</v>
      </c>
      <c r="D4325" s="5" t="s">
        <v>19</v>
      </c>
      <c r="E4325" s="5" t="s">
        <v>395</v>
      </c>
      <c r="F4325" s="9">
        <v>13</v>
      </c>
      <c r="G4325" s="9">
        <v>136</v>
      </c>
      <c r="H4325" s="5" t="s">
        <v>21</v>
      </c>
      <c r="I4325" s="5" t="s">
        <v>10812</v>
      </c>
      <c r="J4325" s="12" t="str">
        <f>HYPERLINK("https://www.boe.es/gazeta/dias/1803/02/15/pdfs/GMD-1803-13.pdf#page=12","Abrir facsímil")</f>
        <v>Abrir facsímil</v>
      </c>
      <c r="K4325" s="15" t="s">
        <v>23</v>
      </c>
    </row>
    <row r="4326" spans="1:11" ht="42" customHeight="1">
      <c r="A4326" s="4" t="s">
        <v>10810</v>
      </c>
      <c r="B4326" s="5" t="s">
        <v>10811</v>
      </c>
      <c r="C4326" s="5" t="s">
        <v>80</v>
      </c>
      <c r="D4326" s="5" t="s">
        <v>81</v>
      </c>
      <c r="E4326" s="5" t="s">
        <v>272</v>
      </c>
      <c r="F4326" s="9">
        <v>25</v>
      </c>
      <c r="G4326" s="9">
        <v>268</v>
      </c>
      <c r="H4326" s="5" t="s">
        <v>21</v>
      </c>
      <c r="I4326" s="5" t="s">
        <v>10813</v>
      </c>
      <c r="J4326" s="12" t="str">
        <f>HYPERLINK("https://www.boe.es/gazeta/dias/1803/03/29/pdfs/GMD-1803-25.pdf#page=8","Abrir facsímil")</f>
        <v>Abrir facsímil</v>
      </c>
      <c r="K4326" s="15" t="s">
        <v>23</v>
      </c>
    </row>
    <row r="4327" spans="1:11" ht="42" customHeight="1">
      <c r="A4327" s="4" t="s">
        <v>10814</v>
      </c>
      <c r="B4327" s="5" t="s">
        <v>10815</v>
      </c>
      <c r="C4327" s="5" t="s">
        <v>18</v>
      </c>
      <c r="D4327" s="5" t="s">
        <v>19</v>
      </c>
      <c r="E4327" s="5" t="s">
        <v>910</v>
      </c>
      <c r="F4327" s="9">
        <v>66</v>
      </c>
      <c r="G4327" s="9">
        <v>719</v>
      </c>
      <c r="H4327" s="5" t="s">
        <v>21</v>
      </c>
      <c r="I4327" s="5" t="s">
        <v>10816</v>
      </c>
      <c r="J4327" s="12" t="str">
        <f>HYPERLINK("https://www.boe.es/gazeta/dias/1803/08/19/pdfs/GMD-1803-66.pdf#page=7","Abrir facsímil")</f>
        <v>Abrir facsímil</v>
      </c>
      <c r="K4327" s="15" t="s">
        <v>23</v>
      </c>
    </row>
    <row r="4328" spans="1:11" ht="42" customHeight="1">
      <c r="A4328" s="4" t="s">
        <v>10817</v>
      </c>
      <c r="B4328" s="5" t="s">
        <v>10818</v>
      </c>
      <c r="C4328" s="5" t="s">
        <v>26</v>
      </c>
      <c r="D4328" s="5" t="s">
        <v>27</v>
      </c>
      <c r="E4328" s="5" t="s">
        <v>250</v>
      </c>
      <c r="F4328" s="9">
        <v>4</v>
      </c>
      <c r="G4328" s="9">
        <v>35</v>
      </c>
      <c r="H4328" s="5" t="s">
        <v>21</v>
      </c>
      <c r="I4328" s="5" t="s">
        <v>10819</v>
      </c>
      <c r="J4328" s="12" t="str">
        <f>HYPERLINK("https://www.boe.es/gazeta/dias/1803/01/14/pdfs/GMD-1803-4.pdf#page=7","Abrir facsímil")</f>
        <v>Abrir facsímil</v>
      </c>
      <c r="K4328" s="15" t="s">
        <v>23</v>
      </c>
    </row>
    <row r="4329" spans="1:11" ht="42" customHeight="1">
      <c r="A4329" s="4" t="s">
        <v>10817</v>
      </c>
      <c r="B4329" s="5" t="s">
        <v>10818</v>
      </c>
      <c r="C4329" s="5" t="s">
        <v>26</v>
      </c>
      <c r="D4329" s="5" t="s">
        <v>27</v>
      </c>
      <c r="E4329" s="5" t="s">
        <v>403</v>
      </c>
      <c r="F4329" s="9">
        <v>91</v>
      </c>
      <c r="G4329" s="9">
        <v>977</v>
      </c>
      <c r="H4329" s="5" t="s">
        <v>21</v>
      </c>
      <c r="I4329" s="5" t="s">
        <v>10820</v>
      </c>
      <c r="J4329" s="12" t="str">
        <f>HYPERLINK("https://www.boe.es/gazeta/dias/1803/11/11/pdfs/GMD-1803-91.pdf#page=9","Abrir facsímil")</f>
        <v>Abrir facsímil</v>
      </c>
      <c r="K4329" s="15" t="s">
        <v>23</v>
      </c>
    </row>
    <row r="4330" spans="1:11" ht="42" customHeight="1">
      <c r="A4330" s="4" t="s">
        <v>10821</v>
      </c>
      <c r="B4330" s="5" t="s">
        <v>10822</v>
      </c>
      <c r="C4330" s="5" t="s">
        <v>26</v>
      </c>
      <c r="D4330" s="5" t="s">
        <v>27</v>
      </c>
      <c r="E4330" s="5" t="s">
        <v>42</v>
      </c>
      <c r="F4330" s="9">
        <v>10</v>
      </c>
      <c r="G4330" s="9">
        <v>104</v>
      </c>
      <c r="H4330" s="5" t="s">
        <v>21</v>
      </c>
      <c r="I4330" s="5" t="s">
        <v>10823</v>
      </c>
      <c r="J4330" s="12" t="str">
        <f>HYPERLINK("https://www.boe.es/gazeta/dias/1803/02/04/pdfs/GMD-1803-10.pdf#page=8","Abrir facsímil")</f>
        <v>Abrir facsímil</v>
      </c>
      <c r="K4330" s="15" t="s">
        <v>23</v>
      </c>
    </row>
    <row r="4331" spans="1:11" ht="42" customHeight="1">
      <c r="A4331" s="4" t="s">
        <v>10821</v>
      </c>
      <c r="B4331" s="5" t="s">
        <v>10822</v>
      </c>
      <c r="C4331" s="5" t="s">
        <v>26</v>
      </c>
      <c r="D4331" s="5" t="s">
        <v>27</v>
      </c>
      <c r="E4331" s="5" t="s">
        <v>132</v>
      </c>
      <c r="F4331" s="9">
        <v>58</v>
      </c>
      <c r="G4331" s="9">
        <v>639</v>
      </c>
      <c r="H4331" s="5" t="s">
        <v>21</v>
      </c>
      <c r="I4331" s="5" t="s">
        <v>10824</v>
      </c>
      <c r="J4331" s="12" t="str">
        <f>HYPERLINK("https://www.boe.es/gazeta/dias/1803/07/22/pdfs/GMD-1803-58.pdf#page=11","Abrir facsímil")</f>
        <v>Abrir facsímil</v>
      </c>
      <c r="K4331" s="15" t="s">
        <v>23</v>
      </c>
    </row>
    <row r="4332" spans="1:11" ht="42" customHeight="1">
      <c r="A4332" s="4" t="s">
        <v>10825</v>
      </c>
      <c r="B4332" s="5" t="s">
        <v>10826</v>
      </c>
      <c r="C4332" s="5" t="s">
        <v>26</v>
      </c>
      <c r="D4332" s="5" t="s">
        <v>27</v>
      </c>
      <c r="E4332" s="5" t="s">
        <v>132</v>
      </c>
      <c r="F4332" s="9">
        <v>58</v>
      </c>
      <c r="G4332" s="9">
        <v>639</v>
      </c>
      <c r="H4332" s="5" t="s">
        <v>21</v>
      </c>
      <c r="I4332" s="5" t="s">
        <v>10827</v>
      </c>
      <c r="J4332" s="12" t="str">
        <f>HYPERLINK("https://www.boe.es/gazeta/dias/1803/07/22/pdfs/GMD-1803-58.pdf#page=11","Abrir facsímil")</f>
        <v>Abrir facsímil</v>
      </c>
      <c r="K4332" s="15" t="s">
        <v>23</v>
      </c>
    </row>
    <row r="4333" spans="1:11" ht="42" customHeight="1">
      <c r="A4333" s="4" t="s">
        <v>10828</v>
      </c>
      <c r="B4333" s="5" t="s">
        <v>10829</v>
      </c>
      <c r="C4333" s="5" t="s">
        <v>26</v>
      </c>
      <c r="D4333" s="5" t="s">
        <v>27</v>
      </c>
      <c r="E4333" s="5" t="s">
        <v>71</v>
      </c>
      <c r="F4333" s="9">
        <v>39</v>
      </c>
      <c r="G4333" s="9">
        <v>413</v>
      </c>
      <c r="H4333" s="5" t="s">
        <v>21</v>
      </c>
      <c r="I4333" s="5" t="s">
        <v>10830</v>
      </c>
      <c r="J4333" s="12" t="str">
        <f>HYPERLINK("https://www.boe.es/gazeta/dias/1803/05/17/pdfs/GMD-1803-39.pdf#page=9","Abrir facsímil")</f>
        <v>Abrir facsímil</v>
      </c>
      <c r="K4333" s="15" t="s">
        <v>23</v>
      </c>
    </row>
    <row r="4334" spans="1:11" ht="42" customHeight="1">
      <c r="A4334" s="4" t="s">
        <v>10831</v>
      </c>
      <c r="B4334" s="5" t="s">
        <v>10832</v>
      </c>
      <c r="C4334" s="5" t="s">
        <v>80</v>
      </c>
      <c r="D4334" s="5" t="s">
        <v>81</v>
      </c>
      <c r="E4334" s="5" t="s">
        <v>113</v>
      </c>
      <c r="F4334" s="9">
        <v>93</v>
      </c>
      <c r="G4334" s="9">
        <v>1000</v>
      </c>
      <c r="H4334" s="5" t="s">
        <v>21</v>
      </c>
      <c r="I4334" s="5" t="s">
        <v>10833</v>
      </c>
      <c r="J4334" s="12" t="str">
        <f>HYPERLINK("https://www.boe.es/gazeta/dias/1803/11/18/pdfs/GMD-1803-93.pdf#page=12","Abrir facsímil")</f>
        <v>Abrir facsímil</v>
      </c>
      <c r="K4334" s="15" t="s">
        <v>23</v>
      </c>
    </row>
    <row r="4335" spans="1:11" ht="42" customHeight="1">
      <c r="A4335" s="4" t="s">
        <v>10834</v>
      </c>
      <c r="B4335" s="5" t="s">
        <v>10835</v>
      </c>
      <c r="C4335" s="5" t="s">
        <v>26</v>
      </c>
      <c r="D4335" s="5" t="s">
        <v>27</v>
      </c>
      <c r="E4335" s="5" t="s">
        <v>102</v>
      </c>
      <c r="F4335" s="9">
        <v>31</v>
      </c>
      <c r="G4335" s="9">
        <v>326</v>
      </c>
      <c r="H4335" s="5" t="s">
        <v>21</v>
      </c>
      <c r="I4335" s="5" t="s">
        <v>10836</v>
      </c>
      <c r="J4335" s="12" t="str">
        <f>HYPERLINK("https://www.boe.es/gazeta/dias/1803/04/19/pdfs/GMD-1803-31.pdf#page=6","Abrir facsímil")</f>
        <v>Abrir facsímil</v>
      </c>
      <c r="K4335" s="15" t="s">
        <v>23</v>
      </c>
    </row>
    <row r="4336" spans="1:11" ht="42" customHeight="1">
      <c r="A4336" s="4" t="s">
        <v>10837</v>
      </c>
      <c r="B4336" s="5" t="s">
        <v>10838</v>
      </c>
      <c r="C4336" s="5" t="s">
        <v>18</v>
      </c>
      <c r="D4336" s="5" t="s">
        <v>19</v>
      </c>
      <c r="E4336" s="5" t="s">
        <v>340</v>
      </c>
      <c r="F4336" s="9">
        <v>55</v>
      </c>
      <c r="G4336" s="9">
        <v>602</v>
      </c>
      <c r="H4336" s="5" t="s">
        <v>21</v>
      </c>
      <c r="I4336" s="5" t="s">
        <v>10839</v>
      </c>
      <c r="J4336" s="12" t="str">
        <f>HYPERLINK("https://www.boe.es/gazeta/dias/1803/07/12/pdfs/GMD-1803-55.pdf#page=10","Abrir facsímil")</f>
        <v>Abrir facsímil</v>
      </c>
      <c r="K4336" s="15" t="s">
        <v>23</v>
      </c>
    </row>
    <row r="4337" spans="1:11" ht="42" customHeight="1">
      <c r="A4337" s="4" t="s">
        <v>10840</v>
      </c>
      <c r="B4337" s="5" t="s">
        <v>10841</v>
      </c>
      <c r="C4337" s="5" t="s">
        <v>18</v>
      </c>
      <c r="D4337" s="5" t="s">
        <v>19</v>
      </c>
      <c r="E4337" s="5" t="s">
        <v>523</v>
      </c>
      <c r="F4337" s="9">
        <v>101</v>
      </c>
      <c r="G4337" s="9">
        <v>1086</v>
      </c>
      <c r="H4337" s="5" t="s">
        <v>21</v>
      </c>
      <c r="I4337" s="5" t="s">
        <v>10842</v>
      </c>
      <c r="J4337" s="12" t="str">
        <f>HYPERLINK("https://www.boe.es/gazeta/dias/1803/12/16/pdfs/GMD-1803-101.pdf#page=10","Abrir facsímil")</f>
        <v>Abrir facsímil</v>
      </c>
      <c r="K4337" s="15" t="s">
        <v>23</v>
      </c>
    </row>
    <row r="4338" spans="1:11" ht="42" customHeight="1">
      <c r="A4338" s="4" t="s">
        <v>10843</v>
      </c>
      <c r="B4338" s="5" t="s">
        <v>10844</v>
      </c>
      <c r="C4338" s="5" t="s">
        <v>80</v>
      </c>
      <c r="D4338" s="5" t="s">
        <v>81</v>
      </c>
      <c r="E4338" s="5" t="s">
        <v>657</v>
      </c>
      <c r="F4338" s="9">
        <v>24</v>
      </c>
      <c r="G4338" s="9">
        <v>259</v>
      </c>
      <c r="H4338" s="5" t="s">
        <v>21</v>
      </c>
      <c r="I4338" s="5" t="s">
        <v>10845</v>
      </c>
      <c r="J4338" s="12" t="str">
        <f>HYPERLINK("https://www.boe.es/gazeta/dias/1803/03/25/pdfs/GMD-1803-24.pdf#page=11","Abrir facsímil")</f>
        <v>Abrir facsímil</v>
      </c>
      <c r="K4338" s="15" t="s">
        <v>23</v>
      </c>
    </row>
    <row r="4339" spans="1:11" ht="42" customHeight="1">
      <c r="A4339" s="4" t="s">
        <v>10846</v>
      </c>
      <c r="B4339" s="5" t="s">
        <v>10847</v>
      </c>
      <c r="C4339" s="5" t="s">
        <v>18</v>
      </c>
      <c r="D4339" s="5" t="s">
        <v>19</v>
      </c>
      <c r="E4339" s="5" t="s">
        <v>203</v>
      </c>
      <c r="F4339" s="9">
        <v>32</v>
      </c>
      <c r="G4339" s="9">
        <v>336</v>
      </c>
      <c r="H4339" s="5" t="s">
        <v>21</v>
      </c>
      <c r="I4339" s="5" t="s">
        <v>10848</v>
      </c>
      <c r="J4339" s="12" t="str">
        <f>HYPERLINK("https://www.boe.es/gazeta/dias/1803/04/22/pdfs/GMD-1803-32.pdf#page=8","Abrir facsímil")</f>
        <v>Abrir facsímil</v>
      </c>
      <c r="K4339" s="15" t="s">
        <v>23</v>
      </c>
    </row>
    <row r="4340" spans="1:11" ht="42" customHeight="1">
      <c r="A4340" s="4" t="s">
        <v>10849</v>
      </c>
      <c r="B4340" s="5" t="s">
        <v>10850</v>
      </c>
      <c r="C4340" s="5" t="s">
        <v>26</v>
      </c>
      <c r="D4340" s="5" t="s">
        <v>27</v>
      </c>
      <c r="E4340" s="5" t="s">
        <v>403</v>
      </c>
      <c r="F4340" s="9">
        <v>91</v>
      </c>
      <c r="G4340" s="9">
        <v>977</v>
      </c>
      <c r="H4340" s="5" t="s">
        <v>21</v>
      </c>
      <c r="I4340" s="5" t="s">
        <v>10851</v>
      </c>
      <c r="J4340" s="12" t="str">
        <f>HYPERLINK("https://www.boe.es/gazeta/dias/1803/11/11/pdfs/GMD-1803-91.pdf#page=9","Abrir facsímil")</f>
        <v>Abrir facsímil</v>
      </c>
      <c r="K4340" s="15" t="s">
        <v>23</v>
      </c>
    </row>
    <row r="4341" spans="1:11" ht="42" customHeight="1">
      <c r="A4341" s="4" t="s">
        <v>10852</v>
      </c>
      <c r="B4341" s="5" t="s">
        <v>10853</v>
      </c>
      <c r="C4341" s="5" t="s">
        <v>80</v>
      </c>
      <c r="D4341" s="5" t="s">
        <v>81</v>
      </c>
      <c r="E4341" s="5" t="s">
        <v>203</v>
      </c>
      <c r="F4341" s="9">
        <v>32</v>
      </c>
      <c r="G4341" s="9">
        <v>331</v>
      </c>
      <c r="H4341" s="5" t="s">
        <v>21</v>
      </c>
      <c r="I4341" s="5" t="s">
        <v>10854</v>
      </c>
      <c r="J4341" s="12" t="str">
        <f>HYPERLINK("https://www.boe.es/gazeta/dias/1803/04/22/pdfs/GMD-1803-32.pdf#page=3","Abrir facsímil")</f>
        <v>Abrir facsímil</v>
      </c>
      <c r="K4341" s="15" t="s">
        <v>23</v>
      </c>
    </row>
    <row r="4342" spans="1:11" ht="42" customHeight="1">
      <c r="A4342" s="4" t="s">
        <v>10855</v>
      </c>
      <c r="B4342" s="5" t="s">
        <v>10856</v>
      </c>
      <c r="C4342" s="5" t="s">
        <v>26</v>
      </c>
      <c r="D4342" s="5" t="s">
        <v>27</v>
      </c>
      <c r="E4342" s="5" t="s">
        <v>555</v>
      </c>
      <c r="F4342" s="9">
        <v>83</v>
      </c>
      <c r="G4342" s="9">
        <v>894</v>
      </c>
      <c r="H4342" s="5" t="s">
        <v>21</v>
      </c>
      <c r="I4342" s="5" t="s">
        <v>10857</v>
      </c>
      <c r="J4342" s="12" t="str">
        <f>HYPERLINK("https://www.boe.es/gazeta/dias/1803/10/14/pdfs/GMD-1803-83.pdf#page=6","Abrir facsímil")</f>
        <v>Abrir facsímil</v>
      </c>
      <c r="K4342" s="15" t="s">
        <v>23</v>
      </c>
    </row>
    <row r="4343" spans="1:11" ht="42" customHeight="1">
      <c r="A4343" s="4" t="s">
        <v>10858</v>
      </c>
      <c r="B4343" s="5" t="s">
        <v>10859</v>
      </c>
      <c r="C4343" s="5" t="s">
        <v>46</v>
      </c>
      <c r="D4343" s="5" t="s">
        <v>19</v>
      </c>
      <c r="E4343" s="5" t="s">
        <v>555</v>
      </c>
      <c r="F4343" s="9">
        <v>83</v>
      </c>
      <c r="G4343" s="9">
        <v>894</v>
      </c>
      <c r="H4343" s="5" t="s">
        <v>21</v>
      </c>
      <c r="I4343" s="5" t="s">
        <v>10860</v>
      </c>
      <c r="J4343" s="12" t="str">
        <f>HYPERLINK("https://www.boe.es/gazeta/dias/1803/10/14/pdfs/GMD-1803-83.pdf#page=6","Abrir facsímil")</f>
        <v>Abrir facsímil</v>
      </c>
      <c r="K4343" s="15" t="s">
        <v>23</v>
      </c>
    </row>
    <row r="4344" spans="1:11" ht="42" customHeight="1">
      <c r="A4344" s="4" t="s">
        <v>10861</v>
      </c>
      <c r="B4344" s="5" t="s">
        <v>10861</v>
      </c>
      <c r="C4344" s="5" t="s">
        <v>46</v>
      </c>
      <c r="D4344" s="5" t="s">
        <v>19</v>
      </c>
      <c r="E4344" s="5" t="s">
        <v>189</v>
      </c>
      <c r="F4344" s="9">
        <v>9</v>
      </c>
      <c r="G4344" s="9">
        <v>92</v>
      </c>
      <c r="H4344" s="5" t="s">
        <v>21</v>
      </c>
      <c r="I4344" s="5" t="s">
        <v>10862</v>
      </c>
      <c r="J4344" s="12" t="str">
        <f>HYPERLINK("https://www.boe.es/gazeta/dias/1803/02/01/pdfs/GMD-1803-9.pdf#page=8","Abrir facsímil")</f>
        <v>Abrir facsímil</v>
      </c>
      <c r="K4344" s="15" t="s">
        <v>23</v>
      </c>
    </row>
    <row r="4345" spans="1:11" ht="42" customHeight="1">
      <c r="A4345" s="4" t="s">
        <v>10863</v>
      </c>
      <c r="B4345" s="5" t="s">
        <v>10864</v>
      </c>
      <c r="C4345" s="5" t="s">
        <v>26</v>
      </c>
      <c r="D4345" s="5" t="s">
        <v>27</v>
      </c>
      <c r="E4345" s="5" t="s">
        <v>1915</v>
      </c>
      <c r="F4345" s="9">
        <v>44</v>
      </c>
      <c r="G4345" s="9">
        <v>459</v>
      </c>
      <c r="H4345" s="5" t="s">
        <v>21</v>
      </c>
      <c r="I4345" s="5" t="s">
        <v>10865</v>
      </c>
      <c r="J4345" s="12" t="str">
        <f>HYPERLINK("https://www.boe.es/gazeta/dias/1803/06/03/pdfs/GMD-1803-44.pdf#page=7","Abrir facsímil")</f>
        <v>Abrir facsímil</v>
      </c>
      <c r="K4345" s="15" t="s">
        <v>23</v>
      </c>
    </row>
    <row r="4346" spans="1:11" ht="42" customHeight="1">
      <c r="A4346" s="4" t="s">
        <v>10866</v>
      </c>
      <c r="B4346" s="5" t="s">
        <v>10867</v>
      </c>
      <c r="C4346" s="5" t="s">
        <v>26</v>
      </c>
      <c r="D4346" s="5" t="s">
        <v>27</v>
      </c>
      <c r="E4346" s="5" t="s">
        <v>289</v>
      </c>
      <c r="F4346" s="9">
        <v>38</v>
      </c>
      <c r="G4346" s="9">
        <v>402</v>
      </c>
      <c r="H4346" s="5" t="s">
        <v>21</v>
      </c>
      <c r="I4346" s="5" t="s">
        <v>10868</v>
      </c>
      <c r="J4346" s="12" t="str">
        <f>HYPERLINK("https://www.boe.es/gazeta/dias/1803/05/13/pdfs/GMD-1803-38.pdf#page=10","Abrir facsímil")</f>
        <v>Abrir facsímil</v>
      </c>
      <c r="K4346" s="15" t="s">
        <v>23</v>
      </c>
    </row>
    <row r="4347" spans="1:11" ht="42" customHeight="1">
      <c r="A4347" s="4" t="s">
        <v>10869</v>
      </c>
      <c r="B4347" s="5" t="s">
        <v>10870</v>
      </c>
      <c r="C4347" s="5" t="s">
        <v>51</v>
      </c>
      <c r="D4347" s="5" t="s">
        <v>52</v>
      </c>
      <c r="E4347" s="5" t="s">
        <v>83</v>
      </c>
      <c r="F4347" s="9">
        <v>28</v>
      </c>
      <c r="G4347" s="9">
        <v>303</v>
      </c>
      <c r="H4347" s="5" t="s">
        <v>21</v>
      </c>
      <c r="I4347" s="5" t="s">
        <v>10871</v>
      </c>
      <c r="J4347" s="12" t="str">
        <f>HYPERLINK("https://www.boe.es/gazeta/dias/1803/04/08/pdfs/GMD-1803-28.pdf#page=7","Abrir facsímil")</f>
        <v>Abrir facsímil</v>
      </c>
      <c r="K4347" s="15" t="s">
        <v>23</v>
      </c>
    </row>
    <row r="4348" spans="1:11" ht="42" customHeight="1">
      <c r="A4348" s="4" t="s">
        <v>10872</v>
      </c>
      <c r="B4348" s="5" t="s">
        <v>10872</v>
      </c>
      <c r="C4348" s="5" t="s">
        <v>26</v>
      </c>
      <c r="D4348" s="5" t="s">
        <v>27</v>
      </c>
      <c r="E4348" s="5" t="s">
        <v>369</v>
      </c>
      <c r="F4348" s="9">
        <v>100</v>
      </c>
      <c r="G4348" s="9">
        <v>1070</v>
      </c>
      <c r="H4348" s="5" t="s">
        <v>21</v>
      </c>
      <c r="I4348" s="5" t="s">
        <v>10873</v>
      </c>
      <c r="J4348" s="12" t="str">
        <f>HYPERLINK("https://www.boe.es/gazeta/dias/1803/12/13/pdfs/GMD-1803-100.pdf#page=6","Abrir facsímil")</f>
        <v>Abrir facsímil</v>
      </c>
      <c r="K4348" s="15" t="s">
        <v>23</v>
      </c>
    </row>
    <row r="4349" spans="1:11" ht="42" customHeight="1">
      <c r="A4349" s="4" t="s">
        <v>10874</v>
      </c>
      <c r="B4349" s="5" t="s">
        <v>10875</v>
      </c>
      <c r="C4349" s="5" t="s">
        <v>26</v>
      </c>
      <c r="D4349" s="5" t="s">
        <v>27</v>
      </c>
      <c r="E4349" s="5" t="s">
        <v>191</v>
      </c>
      <c r="F4349" s="9">
        <v>34</v>
      </c>
      <c r="G4349" s="9" t="s">
        <v>1970</v>
      </c>
      <c r="H4349" s="5" t="s">
        <v>21</v>
      </c>
      <c r="I4349" s="5" t="s">
        <v>10876</v>
      </c>
      <c r="J4349" s="12" t="str">
        <f>HYPERLINK("https://www.boe.es/gazeta/dias/1803/04/29/pdfs/GMD-C-1803-34.pdf#page=10","Abrir facsímil")</f>
        <v>Abrir facsímil</v>
      </c>
      <c r="K4349" s="15" t="s">
        <v>23</v>
      </c>
    </row>
    <row r="4350" spans="1:11" ht="42" customHeight="1">
      <c r="A4350" s="4" t="s">
        <v>10877</v>
      </c>
      <c r="B4350" s="5" t="s">
        <v>10878</v>
      </c>
      <c r="C4350" s="5" t="s">
        <v>18</v>
      </c>
      <c r="D4350" s="5" t="s">
        <v>19</v>
      </c>
      <c r="E4350" s="5" t="s">
        <v>272</v>
      </c>
      <c r="F4350" s="9">
        <v>25</v>
      </c>
      <c r="G4350" s="9">
        <v>266</v>
      </c>
      <c r="H4350" s="5" t="s">
        <v>21</v>
      </c>
      <c r="I4350" s="5" t="s">
        <v>10879</v>
      </c>
      <c r="J4350" s="12" t="str">
        <f>HYPERLINK("https://www.boe.es/gazeta/dias/1803/03/29/pdfs/GMD-1803-25.pdf#page=6","Abrir facsímil")</f>
        <v>Abrir facsímil</v>
      </c>
      <c r="K4350" s="15" t="s">
        <v>23</v>
      </c>
    </row>
    <row r="4351" spans="1:11" ht="42" customHeight="1">
      <c r="A4351" s="4" t="s">
        <v>10880</v>
      </c>
      <c r="B4351" s="5" t="s">
        <v>10881</v>
      </c>
      <c r="C4351" s="5" t="s">
        <v>51</v>
      </c>
      <c r="D4351" s="5" t="s">
        <v>52</v>
      </c>
      <c r="E4351" s="5" t="s">
        <v>882</v>
      </c>
      <c r="F4351" s="9">
        <v>60</v>
      </c>
      <c r="G4351" s="9">
        <v>656</v>
      </c>
      <c r="H4351" s="5" t="s">
        <v>21</v>
      </c>
      <c r="I4351" s="5" t="s">
        <v>10882</v>
      </c>
      <c r="J4351" s="12" t="str">
        <f>HYPERLINK("https://www.boe.es/gazeta/dias/1803/07/29/pdfs/GMD-1803-60.pdf#page=8","Abrir facsímil")</f>
        <v>Abrir facsímil</v>
      </c>
      <c r="K4351" s="15" t="s">
        <v>23</v>
      </c>
    </row>
    <row r="4352" spans="1:11" ht="42" customHeight="1">
      <c r="A4352" s="4" t="s">
        <v>10883</v>
      </c>
      <c r="B4352" s="5" t="s">
        <v>10884</v>
      </c>
      <c r="C4352" s="5" t="s">
        <v>51</v>
      </c>
      <c r="D4352" s="5" t="s">
        <v>52</v>
      </c>
      <c r="E4352" s="5" t="s">
        <v>399</v>
      </c>
      <c r="F4352" s="9">
        <v>95</v>
      </c>
      <c r="G4352" s="9">
        <v>1018</v>
      </c>
      <c r="H4352" s="5" t="s">
        <v>21</v>
      </c>
      <c r="I4352" s="5" t="s">
        <v>10885</v>
      </c>
      <c r="J4352" s="12" t="str">
        <f>HYPERLINK("https://www.boe.es/gazeta/dias/1803/11/25/pdfs/GMD-1803-95.pdf#page=6","Abrir facsímil")</f>
        <v>Abrir facsímil</v>
      </c>
      <c r="K4352" s="15" t="s">
        <v>23</v>
      </c>
    </row>
    <row r="4353" spans="1:11" ht="42" customHeight="1">
      <c r="A4353" s="4" t="s">
        <v>10886</v>
      </c>
      <c r="B4353" s="5" t="s">
        <v>10887</v>
      </c>
      <c r="C4353" s="5" t="s">
        <v>51</v>
      </c>
      <c r="D4353" s="5" t="s">
        <v>52</v>
      </c>
      <c r="E4353" s="5" t="s">
        <v>278</v>
      </c>
      <c r="F4353" s="9">
        <v>46</v>
      </c>
      <c r="G4353" s="9">
        <v>486</v>
      </c>
      <c r="H4353" s="5" t="s">
        <v>21</v>
      </c>
      <c r="I4353" s="5" t="s">
        <v>10888</v>
      </c>
      <c r="J4353" s="12" t="str">
        <f>HYPERLINK("https://www.boe.es/gazeta/dias/1803/06/10/pdfs/GMD-1803-46.pdf#page=10","Abrir facsímil")</f>
        <v>Abrir facsímil</v>
      </c>
      <c r="K4353" s="15" t="s">
        <v>23</v>
      </c>
    </row>
    <row r="4354" spans="1:11" ht="42" customHeight="1">
      <c r="A4354" s="4" t="s">
        <v>10889</v>
      </c>
      <c r="B4354" s="5" t="s">
        <v>10890</v>
      </c>
      <c r="C4354" s="5" t="s">
        <v>26</v>
      </c>
      <c r="D4354" s="5" t="s">
        <v>27</v>
      </c>
      <c r="E4354" s="5" t="s">
        <v>207</v>
      </c>
      <c r="F4354" s="9">
        <v>27</v>
      </c>
      <c r="G4354" s="9">
        <v>292</v>
      </c>
      <c r="H4354" s="5" t="s">
        <v>21</v>
      </c>
      <c r="I4354" s="5" t="s">
        <v>10891</v>
      </c>
      <c r="J4354" s="12" t="str">
        <f>HYPERLINK("https://www.boe.es/gazeta/dias/1803/04/05/pdfs/GMD-1803-27.pdf#page=8","Abrir facsímil")</f>
        <v>Abrir facsímil</v>
      </c>
      <c r="K4354" s="15" t="s">
        <v>23</v>
      </c>
    </row>
    <row r="4355" spans="1:11" ht="42" customHeight="1">
      <c r="A4355" s="4" t="s">
        <v>10892</v>
      </c>
      <c r="B4355" s="5" t="s">
        <v>10892</v>
      </c>
      <c r="C4355" s="5" t="s">
        <v>18</v>
      </c>
      <c r="D4355" s="5" t="s">
        <v>19</v>
      </c>
      <c r="E4355" s="5" t="s">
        <v>20</v>
      </c>
      <c r="F4355" s="9">
        <v>97</v>
      </c>
      <c r="G4355" s="9">
        <v>1044</v>
      </c>
      <c r="H4355" s="5" t="s">
        <v>21</v>
      </c>
      <c r="I4355" s="5" t="s">
        <v>10893</v>
      </c>
      <c r="J4355" s="12" t="str">
        <f>HYPERLINK("https://www.boe.es/gazeta/dias/1803/12/02/pdfs/GMD-1803-97.pdf#page=8","Abrir facsímil")</f>
        <v>Abrir facsímil</v>
      </c>
      <c r="K4355" s="15" t="s">
        <v>23</v>
      </c>
    </row>
    <row r="4356" spans="1:11" ht="42" customHeight="1">
      <c r="A4356" s="4" t="s">
        <v>10894</v>
      </c>
      <c r="B4356" s="5" t="s">
        <v>10894</v>
      </c>
      <c r="C4356" s="5" t="s">
        <v>18</v>
      </c>
      <c r="D4356" s="5" t="s">
        <v>19</v>
      </c>
      <c r="E4356" s="5" t="s">
        <v>439</v>
      </c>
      <c r="F4356" s="9">
        <v>76</v>
      </c>
      <c r="G4356" s="9">
        <v>823</v>
      </c>
      <c r="H4356" s="5" t="s">
        <v>21</v>
      </c>
      <c r="I4356" s="5" t="s">
        <v>10895</v>
      </c>
      <c r="J4356" s="12" t="str">
        <f>HYPERLINK("https://www.boe.es/gazeta/dias/1803/09/20/pdfs/GMD-1803-76.pdf#page=11","Abrir facsímil")</f>
        <v>Abrir facsímil</v>
      </c>
      <c r="K4356" s="15" t="s">
        <v>23</v>
      </c>
    </row>
    <row r="4357" spans="1:11" ht="42" customHeight="1">
      <c r="A4357" s="4" t="s">
        <v>10896</v>
      </c>
      <c r="B4357" s="5" t="s">
        <v>10896</v>
      </c>
      <c r="C4357" s="5" t="s">
        <v>26</v>
      </c>
      <c r="D4357" s="5" t="s">
        <v>27</v>
      </c>
      <c r="E4357" s="5" t="s">
        <v>501</v>
      </c>
      <c r="F4357" s="9">
        <v>22</v>
      </c>
      <c r="G4357" s="9">
        <v>239</v>
      </c>
      <c r="H4357" s="5" t="s">
        <v>21</v>
      </c>
      <c r="I4357" s="5" t="s">
        <v>10897</v>
      </c>
      <c r="J4357" s="12" t="str">
        <f>HYPERLINK("https://www.boe.es/gazeta/dias/1803/03/18/pdfs/GMD-1803-22.pdf#page=11","Abrir facsímil")</f>
        <v>Abrir facsímil</v>
      </c>
      <c r="K4357" s="15" t="s">
        <v>23</v>
      </c>
    </row>
    <row r="4358" spans="1:11" ht="42" customHeight="1">
      <c r="A4358" s="4" t="s">
        <v>10898</v>
      </c>
      <c r="B4358" s="5" t="s">
        <v>10898</v>
      </c>
      <c r="C4358" s="5" t="s">
        <v>26</v>
      </c>
      <c r="D4358" s="5" t="s">
        <v>27</v>
      </c>
      <c r="E4358" s="5" t="s">
        <v>501</v>
      </c>
      <c r="F4358" s="9">
        <v>22</v>
      </c>
      <c r="G4358" s="9">
        <v>239</v>
      </c>
      <c r="H4358" s="5" t="s">
        <v>21</v>
      </c>
      <c r="I4358" s="5" t="s">
        <v>10899</v>
      </c>
      <c r="J4358" s="12" t="str">
        <f>HYPERLINK("https://www.boe.es/gazeta/dias/1803/03/18/pdfs/GMD-1803-22.pdf#page=11","Abrir facsímil")</f>
        <v>Abrir facsímil</v>
      </c>
      <c r="K4358" s="15" t="s">
        <v>23</v>
      </c>
    </row>
    <row r="4359" spans="1:11" ht="42" customHeight="1">
      <c r="A4359" s="4" t="s">
        <v>10900</v>
      </c>
      <c r="B4359" s="5" t="s">
        <v>10901</v>
      </c>
      <c r="C4359" s="5" t="s">
        <v>40</v>
      </c>
      <c r="D4359" s="5" t="s">
        <v>41</v>
      </c>
      <c r="E4359" s="5" t="s">
        <v>75</v>
      </c>
      <c r="F4359" s="9">
        <v>56</v>
      </c>
      <c r="G4359" s="9">
        <v>608</v>
      </c>
      <c r="H4359" s="5" t="s">
        <v>21</v>
      </c>
      <c r="I4359" s="5" t="s">
        <v>10902</v>
      </c>
      <c r="J4359" s="12" t="str">
        <f>HYPERLINK("https://www.boe.es/gazeta/dias/1803/07/15/pdfs/GMD-1803-56.pdf#page=4","Abrir facsímil")</f>
        <v>Abrir facsímil</v>
      </c>
      <c r="K4359" s="15" t="s">
        <v>23</v>
      </c>
    </row>
    <row r="4360" spans="1:11" ht="42" customHeight="1">
      <c r="A4360" s="4" t="s">
        <v>10900</v>
      </c>
      <c r="B4360" s="5" t="s">
        <v>10901</v>
      </c>
      <c r="C4360" s="5" t="s">
        <v>40</v>
      </c>
      <c r="D4360" s="5" t="s">
        <v>41</v>
      </c>
      <c r="E4360" s="5" t="s">
        <v>211</v>
      </c>
      <c r="F4360" s="9">
        <v>71</v>
      </c>
      <c r="G4360" s="9">
        <v>776</v>
      </c>
      <c r="H4360" s="5" t="s">
        <v>21</v>
      </c>
      <c r="I4360" s="5" t="s">
        <v>10903</v>
      </c>
      <c r="J4360" s="12" t="str">
        <f>HYPERLINK("https://www.boe.es/gazeta/dias/1803/09/06/pdfs/GMD-1803-71.pdf#page=8","Abrir facsímil")</f>
        <v>Abrir facsímil</v>
      </c>
      <c r="K4360" s="15" t="s">
        <v>23</v>
      </c>
    </row>
    <row r="4361" spans="1:11" ht="42" customHeight="1">
      <c r="A4361" s="4" t="s">
        <v>10904</v>
      </c>
      <c r="B4361" s="5" t="s">
        <v>10905</v>
      </c>
      <c r="C4361" s="5" t="s">
        <v>40</v>
      </c>
      <c r="D4361" s="5" t="s">
        <v>41</v>
      </c>
      <c r="E4361" s="5" t="s">
        <v>399</v>
      </c>
      <c r="F4361" s="9">
        <v>95</v>
      </c>
      <c r="G4361" s="9">
        <v>1015</v>
      </c>
      <c r="H4361" s="5" t="s">
        <v>21</v>
      </c>
      <c r="I4361" s="5" t="s">
        <v>10906</v>
      </c>
      <c r="J4361" s="12" t="str">
        <f>HYPERLINK("https://www.boe.es/gazeta/dias/1803/11/25/pdfs/GMD-1803-95.pdf#page=3","Abrir facsímil")</f>
        <v>Abrir facsímil</v>
      </c>
      <c r="K4361" s="15" t="s">
        <v>23</v>
      </c>
    </row>
    <row r="4362" spans="1:11" ht="42" customHeight="1">
      <c r="A4362" s="4" t="s">
        <v>10907</v>
      </c>
      <c r="B4362" s="5" t="s">
        <v>10908</v>
      </c>
      <c r="C4362" s="5" t="s">
        <v>26</v>
      </c>
      <c r="D4362" s="5" t="s">
        <v>27</v>
      </c>
      <c r="E4362" s="5" t="s">
        <v>373</v>
      </c>
      <c r="F4362" s="9">
        <v>77</v>
      </c>
      <c r="G4362" s="9">
        <v>829</v>
      </c>
      <c r="H4362" s="5" t="s">
        <v>21</v>
      </c>
      <c r="I4362" s="5" t="s">
        <v>10909</v>
      </c>
      <c r="J4362" s="12" t="str">
        <f>HYPERLINK("https://www.boe.es/gazeta/dias/1803/09/23/pdfs/GMD-1803-77.pdf#page=5","Abrir facsímil")</f>
        <v>Abrir facsímil</v>
      </c>
      <c r="K4362" s="15" t="s">
        <v>23</v>
      </c>
    </row>
    <row r="4363" spans="1:11" ht="42" customHeight="1">
      <c r="A4363" s="4" t="s">
        <v>10910</v>
      </c>
      <c r="B4363" s="5" t="s">
        <v>10911</v>
      </c>
      <c r="C4363" s="5" t="s">
        <v>18</v>
      </c>
      <c r="D4363" s="5" t="s">
        <v>19</v>
      </c>
      <c r="E4363" s="5" t="s">
        <v>321</v>
      </c>
      <c r="F4363" s="9">
        <v>94</v>
      </c>
      <c r="G4363" s="9">
        <v>1006</v>
      </c>
      <c r="H4363" s="5" t="s">
        <v>21</v>
      </c>
      <c r="I4363" s="5" t="s">
        <v>10912</v>
      </c>
      <c r="J4363" s="12" t="str">
        <f>HYPERLINK("https://www.boe.es/gazeta/dias/1803/11/22/pdfs/GMD-1803-94.pdf#page=6","Abrir facsímil")</f>
        <v>Abrir facsímil</v>
      </c>
      <c r="K4363" s="15" t="s">
        <v>23</v>
      </c>
    </row>
    <row r="4364" spans="1:11" ht="42" customHeight="1">
      <c r="A4364" s="4" t="s">
        <v>10913</v>
      </c>
      <c r="B4364" s="5" t="s">
        <v>10914</v>
      </c>
      <c r="C4364" s="5" t="s">
        <v>18</v>
      </c>
      <c r="D4364" s="5" t="s">
        <v>19</v>
      </c>
      <c r="E4364" s="5" t="s">
        <v>519</v>
      </c>
      <c r="F4364" s="9">
        <v>50</v>
      </c>
      <c r="G4364" s="9">
        <v>543</v>
      </c>
      <c r="H4364" s="5" t="s">
        <v>21</v>
      </c>
      <c r="I4364" s="5" t="s">
        <v>10915</v>
      </c>
      <c r="J4364" s="12" t="str">
        <f>HYPERLINK("https://www.boe.es/gazeta/dias/1803/06/24/pdfs/GMD-1803-50.pdf#page=11","Abrir facsímil")</f>
        <v>Abrir facsímil</v>
      </c>
      <c r="K4364" s="15" t="s">
        <v>23</v>
      </c>
    </row>
    <row r="4365" spans="1:11" ht="42" customHeight="1">
      <c r="A4365" s="4" t="s">
        <v>10916</v>
      </c>
      <c r="B4365" s="5" t="s">
        <v>10917</v>
      </c>
      <c r="C4365" s="5" t="s">
        <v>18</v>
      </c>
      <c r="D4365" s="5" t="s">
        <v>19</v>
      </c>
      <c r="E4365" s="5" t="s">
        <v>218</v>
      </c>
      <c r="F4365" s="9">
        <v>19</v>
      </c>
      <c r="G4365" s="9">
        <v>201</v>
      </c>
      <c r="H4365" s="5" t="s">
        <v>21</v>
      </c>
      <c r="I4365" s="5" t="s">
        <v>10918</v>
      </c>
      <c r="J4365" s="12" t="str">
        <f>HYPERLINK("https://www.boe.es/gazeta/dias/1803/03/08/pdfs/GMD-1803-19.pdf#page=9","Abrir facsímil")</f>
        <v>Abrir facsímil</v>
      </c>
      <c r="K4365" s="15" t="s">
        <v>23</v>
      </c>
    </row>
    <row r="4366" spans="1:11" ht="42" customHeight="1">
      <c r="A4366" s="4" t="s">
        <v>10919</v>
      </c>
      <c r="B4366" s="5" t="s">
        <v>10920</v>
      </c>
      <c r="C4366" s="5" t="s">
        <v>26</v>
      </c>
      <c r="D4366" s="5" t="s">
        <v>27</v>
      </c>
      <c r="E4366" s="5" t="s">
        <v>501</v>
      </c>
      <c r="F4366" s="9">
        <v>22</v>
      </c>
      <c r="G4366" s="9">
        <v>237</v>
      </c>
      <c r="H4366" s="5" t="s">
        <v>21</v>
      </c>
      <c r="I4366" s="5" t="s">
        <v>10921</v>
      </c>
      <c r="J4366" s="12" t="str">
        <f>HYPERLINK("https://www.boe.es/gazeta/dias/1803/03/18/pdfs/GMD-1803-22.pdf#page=9","Abrir facsímil")</f>
        <v>Abrir facsímil</v>
      </c>
      <c r="K4366" s="15" t="s">
        <v>23</v>
      </c>
    </row>
    <row r="4367" spans="1:11" ht="42" customHeight="1">
      <c r="A4367" s="4" t="s">
        <v>10922</v>
      </c>
      <c r="B4367" s="5" t="s">
        <v>10923</v>
      </c>
      <c r="C4367" s="5" t="s">
        <v>51</v>
      </c>
      <c r="D4367" s="5" t="s">
        <v>52</v>
      </c>
      <c r="E4367" s="5" t="s">
        <v>85</v>
      </c>
      <c r="F4367" s="9">
        <v>49</v>
      </c>
      <c r="G4367" s="9">
        <v>522</v>
      </c>
      <c r="H4367" s="5" t="s">
        <v>21</v>
      </c>
      <c r="I4367" s="5" t="s">
        <v>10924</v>
      </c>
      <c r="J4367" s="12" t="str">
        <f>HYPERLINK("https://www.boe.es/gazeta/dias/1803/06/21/pdfs/GMD-1803-49.pdf#page=10","Abrir facsímil")</f>
        <v>Abrir facsímil</v>
      </c>
      <c r="K4367" s="15" t="s">
        <v>23</v>
      </c>
    </row>
    <row r="4368" spans="1:11" ht="42" customHeight="1">
      <c r="A4368" s="4" t="s">
        <v>10925</v>
      </c>
      <c r="B4368" s="5" t="s">
        <v>10926</v>
      </c>
      <c r="C4368" s="5" t="s">
        <v>26</v>
      </c>
      <c r="D4368" s="5" t="s">
        <v>27</v>
      </c>
      <c r="E4368" s="5" t="s">
        <v>519</v>
      </c>
      <c r="F4368" s="9">
        <v>50</v>
      </c>
      <c r="G4368" s="9">
        <v>541</v>
      </c>
      <c r="H4368" s="5" t="s">
        <v>21</v>
      </c>
      <c r="I4368" s="5" t="s">
        <v>10927</v>
      </c>
      <c r="J4368" s="12" t="str">
        <f>HYPERLINK("https://www.boe.es/gazeta/dias/1803/06/24/pdfs/GMD-1803-50.pdf#page=9","Abrir facsímil")</f>
        <v>Abrir facsímil</v>
      </c>
      <c r="K4368" s="15" t="s">
        <v>23</v>
      </c>
    </row>
    <row r="4369" spans="1:11" ht="42" customHeight="1">
      <c r="A4369" s="4" t="s">
        <v>10925</v>
      </c>
      <c r="B4369" s="5" t="s">
        <v>10926</v>
      </c>
      <c r="C4369" s="5" t="s">
        <v>26</v>
      </c>
      <c r="D4369" s="5" t="s">
        <v>27</v>
      </c>
      <c r="E4369" s="5" t="s">
        <v>328</v>
      </c>
      <c r="F4369" s="9">
        <v>54</v>
      </c>
      <c r="G4369" s="9">
        <v>590</v>
      </c>
      <c r="H4369" s="5" t="s">
        <v>21</v>
      </c>
      <c r="I4369" s="5" t="s">
        <v>10928</v>
      </c>
      <c r="J4369" s="12" t="str">
        <f>HYPERLINK("https://www.boe.es/gazeta/dias/1803/07/08/pdfs/GMD-1803-54.pdf#page=10","Abrir facsímil")</f>
        <v>Abrir facsímil</v>
      </c>
      <c r="K4369" s="15" t="s">
        <v>23</v>
      </c>
    </row>
    <row r="4370" spans="1:11" ht="42" customHeight="1">
      <c r="A4370" s="4" t="s">
        <v>10929</v>
      </c>
      <c r="B4370" s="5" t="s">
        <v>10930</v>
      </c>
      <c r="C4370" s="5" t="s">
        <v>18</v>
      </c>
      <c r="D4370" s="5" t="s">
        <v>19</v>
      </c>
      <c r="E4370" s="5" t="s">
        <v>514</v>
      </c>
      <c r="F4370" s="9">
        <v>42</v>
      </c>
      <c r="G4370" s="9">
        <v>439</v>
      </c>
      <c r="H4370" s="5" t="s">
        <v>21</v>
      </c>
      <c r="I4370" s="5" t="s">
        <v>10931</v>
      </c>
      <c r="J4370" s="12" t="str">
        <f>HYPERLINK("https://www.boe.es/gazeta/dias/1803/05/27/pdfs/GMD-1803-42.pdf#page=7","Abrir facsímil")</f>
        <v>Abrir facsímil</v>
      </c>
      <c r="K4370" s="15" t="s">
        <v>23</v>
      </c>
    </row>
    <row r="4371" spans="1:11" ht="42" customHeight="1">
      <c r="A4371" s="4" t="s">
        <v>10932</v>
      </c>
      <c r="B4371" s="5" t="s">
        <v>10933</v>
      </c>
      <c r="C4371" s="5" t="s">
        <v>26</v>
      </c>
      <c r="D4371" s="5" t="s">
        <v>27</v>
      </c>
      <c r="E4371" s="5" t="s">
        <v>657</v>
      </c>
      <c r="F4371" s="9">
        <v>24</v>
      </c>
      <c r="G4371" s="9">
        <v>256</v>
      </c>
      <c r="H4371" s="5" t="s">
        <v>21</v>
      </c>
      <c r="I4371" s="5" t="s">
        <v>10934</v>
      </c>
      <c r="J4371" s="12" t="str">
        <f>HYPERLINK("https://www.boe.es/gazeta/dias/1803/03/25/pdfs/GMD-1803-24.pdf#page=8","Abrir facsímil")</f>
        <v>Abrir facsímil</v>
      </c>
      <c r="K4371" s="15" t="s">
        <v>23</v>
      </c>
    </row>
    <row r="4372" spans="1:11" ht="42" customHeight="1">
      <c r="A4372" s="4" t="s">
        <v>10935</v>
      </c>
      <c r="B4372" s="5" t="s">
        <v>10936</v>
      </c>
      <c r="C4372" s="5" t="s">
        <v>40</v>
      </c>
      <c r="D4372" s="5" t="s">
        <v>41</v>
      </c>
      <c r="E4372" s="5" t="s">
        <v>407</v>
      </c>
      <c r="F4372" s="9">
        <v>82</v>
      </c>
      <c r="G4372" s="9">
        <v>886</v>
      </c>
      <c r="H4372" s="5" t="s">
        <v>21</v>
      </c>
      <c r="I4372" s="5" t="s">
        <v>10937</v>
      </c>
      <c r="J4372" s="12" t="str">
        <f>HYPERLINK("https://www.boe.es/gazeta/dias/1803/10/11/pdfs/GMD-1803-82.pdf#page=10","Abrir facsímil")</f>
        <v>Abrir facsímil</v>
      </c>
      <c r="K4372" s="15" t="s">
        <v>23</v>
      </c>
    </row>
    <row r="4373" spans="1:11" ht="42" customHeight="1">
      <c r="A4373" s="4" t="s">
        <v>10938</v>
      </c>
      <c r="B4373" s="5" t="s">
        <v>10939</v>
      </c>
      <c r="C4373" s="5" t="s">
        <v>80</v>
      </c>
      <c r="D4373" s="5" t="s">
        <v>81</v>
      </c>
      <c r="E4373" s="5" t="s">
        <v>1051</v>
      </c>
      <c r="F4373" s="9">
        <v>40</v>
      </c>
      <c r="G4373" s="9">
        <v>424</v>
      </c>
      <c r="H4373" s="5" t="s">
        <v>21</v>
      </c>
      <c r="I4373" s="5" t="s">
        <v>10940</v>
      </c>
      <c r="J4373" s="12" t="str">
        <f>HYPERLINK("https://www.boe.es/gazeta/dias/1803/05/20/pdfs/GMD-1803-40.pdf#page=8","Abrir facsímil")</f>
        <v>Abrir facsímil</v>
      </c>
      <c r="K4373" s="15" t="s">
        <v>23</v>
      </c>
    </row>
    <row r="4374" spans="1:11" ht="42" customHeight="1">
      <c r="A4374" s="4" t="s">
        <v>10941</v>
      </c>
      <c r="B4374" s="5" t="s">
        <v>10942</v>
      </c>
      <c r="C4374" s="5" t="s">
        <v>18</v>
      </c>
      <c r="D4374" s="5" t="s">
        <v>19</v>
      </c>
      <c r="E4374" s="5" t="s">
        <v>373</v>
      </c>
      <c r="F4374" s="9">
        <v>77</v>
      </c>
      <c r="G4374" s="9">
        <v>833</v>
      </c>
      <c r="H4374" s="5" t="s">
        <v>21</v>
      </c>
      <c r="I4374" s="5" t="s">
        <v>10943</v>
      </c>
      <c r="J4374" s="12" t="str">
        <f>HYPERLINK("https://www.boe.es/gazeta/dias/1803/09/23/pdfs/GMD-1803-77.pdf#page=9","Abrir facsímil")</f>
        <v>Abrir facsímil</v>
      </c>
      <c r="K4374" s="15" t="s">
        <v>23</v>
      </c>
    </row>
    <row r="4375" spans="1:11" ht="42" customHeight="1">
      <c r="A4375" s="4" t="s">
        <v>10941</v>
      </c>
      <c r="B4375" s="5" t="s">
        <v>10942</v>
      </c>
      <c r="C4375" s="5" t="s">
        <v>18</v>
      </c>
      <c r="D4375" s="5" t="s">
        <v>19</v>
      </c>
      <c r="E4375" s="5" t="s">
        <v>109</v>
      </c>
      <c r="F4375" s="9">
        <v>102</v>
      </c>
      <c r="G4375" s="9">
        <v>1097</v>
      </c>
      <c r="H4375" s="5" t="s">
        <v>21</v>
      </c>
      <c r="I4375" s="5" t="s">
        <v>10944</v>
      </c>
      <c r="J4375" s="12" t="str">
        <f>HYPERLINK("https://www.boe.es/gazeta/dias/1803/12/20/pdfs/GMD-1803-102.pdf#page=9","Abrir facsímil")</f>
        <v>Abrir facsímil</v>
      </c>
      <c r="K4375" s="15" t="s">
        <v>23</v>
      </c>
    </row>
    <row r="4376" spans="1:11" ht="42" customHeight="1">
      <c r="A4376" s="4" t="s">
        <v>10945</v>
      </c>
      <c r="B4376" s="5" t="s">
        <v>10946</v>
      </c>
      <c r="C4376" s="5" t="s">
        <v>26</v>
      </c>
      <c r="D4376" s="5" t="s">
        <v>27</v>
      </c>
      <c r="E4376" s="5" t="s">
        <v>278</v>
      </c>
      <c r="F4376" s="9">
        <v>46</v>
      </c>
      <c r="G4376" s="9">
        <v>486</v>
      </c>
      <c r="H4376" s="5" t="s">
        <v>21</v>
      </c>
      <c r="I4376" s="5" t="s">
        <v>10947</v>
      </c>
      <c r="J4376" s="12" t="str">
        <f>HYPERLINK("https://www.boe.es/gazeta/dias/1803/06/10/pdfs/GMD-1803-46.pdf#page=10","Abrir facsímil")</f>
        <v>Abrir facsímil</v>
      </c>
      <c r="K4376" s="15" t="s">
        <v>23</v>
      </c>
    </row>
    <row r="4377" spans="1:11" ht="42" customHeight="1">
      <c r="A4377" s="4" t="s">
        <v>10948</v>
      </c>
      <c r="B4377" s="5" t="s">
        <v>10949</v>
      </c>
      <c r="C4377" s="5" t="s">
        <v>26</v>
      </c>
      <c r="D4377" s="5" t="s">
        <v>27</v>
      </c>
      <c r="E4377" s="5" t="s">
        <v>514</v>
      </c>
      <c r="F4377" s="9">
        <v>42</v>
      </c>
      <c r="G4377" s="9">
        <v>440</v>
      </c>
      <c r="H4377" s="5" t="s">
        <v>21</v>
      </c>
      <c r="I4377" s="5" t="s">
        <v>10950</v>
      </c>
      <c r="J4377" s="12" t="str">
        <f>HYPERLINK("https://www.boe.es/gazeta/dias/1803/05/27/pdfs/GMD-1803-42.pdf#page=8","Abrir facsímil")</f>
        <v>Abrir facsímil</v>
      </c>
      <c r="K4377" s="15" t="s">
        <v>23</v>
      </c>
    </row>
    <row r="4378" spans="1:11" ht="42" customHeight="1">
      <c r="A4378" s="4" t="s">
        <v>10951</v>
      </c>
      <c r="B4378" s="5" t="s">
        <v>10952</v>
      </c>
      <c r="C4378" s="5" t="s">
        <v>26</v>
      </c>
      <c r="D4378" s="5" t="s">
        <v>27</v>
      </c>
      <c r="E4378" s="5" t="s">
        <v>231</v>
      </c>
      <c r="F4378" s="9">
        <v>26</v>
      </c>
      <c r="G4378" s="9">
        <v>282</v>
      </c>
      <c r="H4378" s="5" t="s">
        <v>21</v>
      </c>
      <c r="I4378" s="5" t="s">
        <v>10953</v>
      </c>
      <c r="J4378" s="12" t="str">
        <f>HYPERLINK("https://www.boe.es/gazeta/dias/1803/04/01/pdfs/GMD-1803-26.pdf#page=10","Abrir facsímil")</f>
        <v>Abrir facsímil</v>
      </c>
      <c r="K4378" s="15" t="s">
        <v>23</v>
      </c>
    </row>
    <row r="4379" spans="1:11" ht="42" customHeight="1">
      <c r="A4379" s="4" t="s">
        <v>10954</v>
      </c>
      <c r="B4379" s="5" t="s">
        <v>10955</v>
      </c>
      <c r="C4379" s="5" t="s">
        <v>51</v>
      </c>
      <c r="D4379" s="5" t="s">
        <v>52</v>
      </c>
      <c r="E4379" s="5" t="s">
        <v>109</v>
      </c>
      <c r="F4379" s="9">
        <v>102</v>
      </c>
      <c r="G4379" s="9">
        <v>1098</v>
      </c>
      <c r="H4379" s="5" t="s">
        <v>21</v>
      </c>
      <c r="I4379" s="5" t="s">
        <v>10956</v>
      </c>
      <c r="J4379" s="12" t="str">
        <f>HYPERLINK("https://www.boe.es/gazeta/dias/1803/12/20/pdfs/GMD-1803-102.pdf#page=10","Abrir facsímil")</f>
        <v>Abrir facsímil</v>
      </c>
      <c r="K4379" s="15" t="s">
        <v>23</v>
      </c>
    </row>
    <row r="4380" spans="1:11" ht="42" customHeight="1">
      <c r="A4380" s="4" t="s">
        <v>10957</v>
      </c>
      <c r="B4380" s="5" t="s">
        <v>10958</v>
      </c>
      <c r="C4380" s="5" t="s">
        <v>26</v>
      </c>
      <c r="D4380" s="5" t="s">
        <v>27</v>
      </c>
      <c r="E4380" s="5" t="s">
        <v>32</v>
      </c>
      <c r="F4380" s="9">
        <v>74</v>
      </c>
      <c r="G4380" s="9">
        <v>803</v>
      </c>
      <c r="H4380" s="5" t="s">
        <v>21</v>
      </c>
      <c r="I4380" s="5" t="s">
        <v>10959</v>
      </c>
      <c r="J4380" s="12" t="str">
        <f>HYPERLINK("https://www.boe.es/gazeta/dias/1803/09/13/pdfs/GMD-1803-74.pdf#page=7","Abrir facsímil")</f>
        <v>Abrir facsímil</v>
      </c>
      <c r="K4380" s="15" t="s">
        <v>23</v>
      </c>
    </row>
    <row r="4381" spans="1:11" ht="42" customHeight="1">
      <c r="A4381" s="4" t="s">
        <v>10960</v>
      </c>
      <c r="B4381" s="5" t="s">
        <v>10961</v>
      </c>
      <c r="C4381" s="5" t="s">
        <v>51</v>
      </c>
      <c r="D4381" s="5" t="s">
        <v>52</v>
      </c>
      <c r="E4381" s="5" t="s">
        <v>309</v>
      </c>
      <c r="F4381" s="9">
        <v>37</v>
      </c>
      <c r="G4381" s="9">
        <v>382</v>
      </c>
      <c r="H4381" s="5" t="s">
        <v>21</v>
      </c>
      <c r="I4381" s="5" t="s">
        <v>10962</v>
      </c>
      <c r="J4381" s="12" t="str">
        <f>HYPERLINK("https://www.boe.es/gazeta/dias/1803/05/10/pdfs/GMD-1803-37.pdf#page=6","Abrir facsímil")</f>
        <v>Abrir facsímil</v>
      </c>
      <c r="K4381" s="15" t="s">
        <v>23</v>
      </c>
    </row>
    <row r="4382" spans="1:11" ht="42" customHeight="1">
      <c r="A4382" s="4" t="s">
        <v>10963</v>
      </c>
      <c r="B4382" s="5" t="s">
        <v>10964</v>
      </c>
      <c r="C4382" s="5" t="s">
        <v>26</v>
      </c>
      <c r="D4382" s="5" t="s">
        <v>27</v>
      </c>
      <c r="E4382" s="5" t="s">
        <v>657</v>
      </c>
      <c r="F4382" s="9">
        <v>24</v>
      </c>
      <c r="G4382" s="9">
        <v>256</v>
      </c>
      <c r="H4382" s="5" t="s">
        <v>21</v>
      </c>
      <c r="I4382" s="5" t="s">
        <v>10965</v>
      </c>
      <c r="J4382" s="12" t="str">
        <f>HYPERLINK("https://www.boe.es/gazeta/dias/1803/03/25/pdfs/GMD-1803-24.pdf#page=8","Abrir facsímil")</f>
        <v>Abrir facsímil</v>
      </c>
      <c r="K4382" s="15" t="s">
        <v>23</v>
      </c>
    </row>
    <row r="4383" spans="1:11" ht="42" customHeight="1">
      <c r="A4383" s="4" t="s">
        <v>10966</v>
      </c>
      <c r="B4383" s="5" t="s">
        <v>10967</v>
      </c>
      <c r="C4383" s="5" t="s">
        <v>26</v>
      </c>
      <c r="D4383" s="5" t="s">
        <v>27</v>
      </c>
      <c r="E4383" s="5" t="s">
        <v>1846</v>
      </c>
      <c r="F4383" s="9">
        <v>89</v>
      </c>
      <c r="G4383" s="9">
        <v>958</v>
      </c>
      <c r="H4383" s="5" t="s">
        <v>21</v>
      </c>
      <c r="I4383" s="5" t="s">
        <v>10968</v>
      </c>
      <c r="J4383" s="12" t="str">
        <f>HYPERLINK("https://www.boe.es/gazeta/dias/1803/11/04/pdfs/GMD-1803-89.pdf#page=6","Abrir facsímil")</f>
        <v>Abrir facsímil</v>
      </c>
      <c r="K4383" s="15" t="s">
        <v>23</v>
      </c>
    </row>
    <row r="4384" spans="1:11" ht="42" customHeight="1">
      <c r="A4384" s="4" t="s">
        <v>10969</v>
      </c>
      <c r="B4384" s="5" t="s">
        <v>10970</v>
      </c>
      <c r="C4384" s="5" t="s">
        <v>26</v>
      </c>
      <c r="D4384" s="5" t="s">
        <v>27</v>
      </c>
      <c r="E4384" s="5" t="s">
        <v>630</v>
      </c>
      <c r="F4384" s="9">
        <v>85</v>
      </c>
      <c r="G4384" s="9">
        <v>917</v>
      </c>
      <c r="H4384" s="5" t="s">
        <v>21</v>
      </c>
      <c r="I4384" s="5" t="s">
        <v>10971</v>
      </c>
      <c r="J4384" s="12" t="str">
        <f>HYPERLINK("https://www.boe.es/gazeta/dias/1803/10/21/pdfs/GMD-1803-85.pdf#page=9","Abrir facsímil")</f>
        <v>Abrir facsímil</v>
      </c>
      <c r="K4384" s="15" t="s">
        <v>23</v>
      </c>
    </row>
    <row r="4385" spans="1:11" ht="42" customHeight="1">
      <c r="A4385" s="4" t="s">
        <v>10972</v>
      </c>
      <c r="B4385" s="5" t="s">
        <v>10973</v>
      </c>
      <c r="C4385" s="5" t="s">
        <v>18</v>
      </c>
      <c r="D4385" s="5" t="s">
        <v>19</v>
      </c>
      <c r="E4385" s="5" t="s">
        <v>113</v>
      </c>
      <c r="F4385" s="9">
        <v>93</v>
      </c>
      <c r="G4385" s="9">
        <v>995</v>
      </c>
      <c r="H4385" s="5" t="s">
        <v>21</v>
      </c>
      <c r="I4385" s="5" t="s">
        <v>10974</v>
      </c>
      <c r="J4385" s="12" t="str">
        <f>HYPERLINK("https://www.boe.es/gazeta/dias/1803/11/18/pdfs/GMD-1803-93.pdf#page=7","Abrir facsímil")</f>
        <v>Abrir facsímil</v>
      </c>
      <c r="K4385" s="15" t="s">
        <v>23</v>
      </c>
    </row>
    <row r="4386" spans="1:11" ht="42" customHeight="1">
      <c r="A4386" s="4" t="s">
        <v>10975</v>
      </c>
      <c r="B4386" s="5" t="s">
        <v>10975</v>
      </c>
      <c r="C4386" s="5" t="s">
        <v>26</v>
      </c>
      <c r="D4386" s="5" t="s">
        <v>27</v>
      </c>
      <c r="E4386" s="5" t="s">
        <v>523</v>
      </c>
      <c r="F4386" s="9">
        <v>101</v>
      </c>
      <c r="G4386" s="9">
        <v>1087</v>
      </c>
      <c r="H4386" s="5" t="s">
        <v>21</v>
      </c>
      <c r="I4386" s="5" t="s">
        <v>10976</v>
      </c>
      <c r="J4386" s="12" t="str">
        <f>HYPERLINK("https://www.boe.es/gazeta/dias/1803/12/16/pdfs/GMD-1803-101.pdf#page=11","Abrir facsímil")</f>
        <v>Abrir facsímil</v>
      </c>
      <c r="K4386" s="15" t="s">
        <v>23</v>
      </c>
    </row>
    <row r="4387" spans="1:11" ht="42" customHeight="1">
      <c r="A4387" s="4" t="s">
        <v>10977</v>
      </c>
      <c r="B4387" s="5" t="s">
        <v>10978</v>
      </c>
      <c r="C4387" s="5" t="s">
        <v>40</v>
      </c>
      <c r="D4387" s="5" t="s">
        <v>41</v>
      </c>
      <c r="E4387" s="5" t="s">
        <v>32</v>
      </c>
      <c r="F4387" s="9">
        <v>74</v>
      </c>
      <c r="G4387" s="9">
        <v>802</v>
      </c>
      <c r="H4387" s="5" t="s">
        <v>21</v>
      </c>
      <c r="I4387" s="5" t="s">
        <v>10979</v>
      </c>
      <c r="J4387" s="12" t="str">
        <f>HYPERLINK("https://www.boe.es/gazeta/dias/1803/09/13/pdfs/GMD-1803-74.pdf#page=6","Abrir facsímil")</f>
        <v>Abrir facsímil</v>
      </c>
      <c r="K4387" s="15" t="s">
        <v>23</v>
      </c>
    </row>
    <row r="4388" spans="1:11" ht="42" customHeight="1">
      <c r="A4388" s="4" t="s">
        <v>10980</v>
      </c>
      <c r="B4388" s="5" t="s">
        <v>10981</v>
      </c>
      <c r="C4388" s="5" t="s">
        <v>26</v>
      </c>
      <c r="D4388" s="5" t="s">
        <v>27</v>
      </c>
      <c r="E4388" s="5" t="s">
        <v>71</v>
      </c>
      <c r="F4388" s="9">
        <v>39</v>
      </c>
      <c r="G4388" s="9">
        <v>411</v>
      </c>
      <c r="H4388" s="5" t="s">
        <v>21</v>
      </c>
      <c r="I4388" s="5" t="s">
        <v>10982</v>
      </c>
      <c r="J4388" s="12" t="str">
        <f>HYPERLINK("https://www.boe.es/gazeta/dias/1803/05/17/pdfs/GMD-1803-39.pdf#page=7","Abrir facsímil")</f>
        <v>Abrir facsímil</v>
      </c>
      <c r="K4388" s="15" t="s">
        <v>23</v>
      </c>
    </row>
    <row r="4389" spans="1:11" ht="42" customHeight="1">
      <c r="A4389" s="4" t="s">
        <v>10980</v>
      </c>
      <c r="B4389" s="5" t="s">
        <v>10981</v>
      </c>
      <c r="C4389" s="5" t="s">
        <v>26</v>
      </c>
      <c r="D4389" s="5" t="s">
        <v>27</v>
      </c>
      <c r="E4389" s="5" t="s">
        <v>278</v>
      </c>
      <c r="F4389" s="9">
        <v>46</v>
      </c>
      <c r="G4389" s="9">
        <v>486</v>
      </c>
      <c r="H4389" s="5" t="s">
        <v>21</v>
      </c>
      <c r="I4389" s="5" t="s">
        <v>10983</v>
      </c>
      <c r="J4389" s="12" t="str">
        <f>HYPERLINK("https://www.boe.es/gazeta/dias/1803/06/10/pdfs/GMD-1803-46.pdf#page=10","Abrir facsímil")</f>
        <v>Abrir facsímil</v>
      </c>
      <c r="K4389" s="15" t="s">
        <v>23</v>
      </c>
    </row>
    <row r="4390" spans="1:11" ht="42" customHeight="1">
      <c r="A4390" s="4" t="s">
        <v>10984</v>
      </c>
      <c r="B4390" s="5" t="s">
        <v>10985</v>
      </c>
      <c r="C4390" s="5" t="s">
        <v>26</v>
      </c>
      <c r="D4390" s="5" t="s">
        <v>27</v>
      </c>
      <c r="E4390" s="5" t="s">
        <v>61</v>
      </c>
      <c r="F4390" s="9">
        <v>67</v>
      </c>
      <c r="G4390" s="9">
        <v>729</v>
      </c>
      <c r="H4390" s="5" t="s">
        <v>21</v>
      </c>
      <c r="I4390" s="5" t="s">
        <v>10986</v>
      </c>
      <c r="J4390" s="12" t="str">
        <f>HYPERLINK("https://www.boe.es/gazeta/dias/1803/08/23/pdfs/GMD-1803-67.pdf#page=9","Abrir facsímil")</f>
        <v>Abrir facsímil</v>
      </c>
      <c r="K4390" s="15" t="s">
        <v>23</v>
      </c>
    </row>
    <row r="4391" spans="1:11" ht="42" customHeight="1">
      <c r="A4391" s="4" t="s">
        <v>10987</v>
      </c>
      <c r="B4391" s="5" t="s">
        <v>10988</v>
      </c>
      <c r="C4391" s="5" t="s">
        <v>40</v>
      </c>
      <c r="D4391" s="5" t="s">
        <v>41</v>
      </c>
      <c r="E4391" s="5" t="s">
        <v>609</v>
      </c>
      <c r="F4391" s="9">
        <v>57</v>
      </c>
      <c r="G4391" s="9">
        <v>613</v>
      </c>
      <c r="H4391" s="5" t="s">
        <v>21</v>
      </c>
      <c r="I4391" s="5" t="s">
        <v>10989</v>
      </c>
      <c r="J4391" s="12" t="str">
        <f>HYPERLINK("https://www.boe.es/gazeta/dias/1803/07/19/pdfs/GMD-1803-57.pdf#page=1","Abrir facsímil")</f>
        <v>Abrir facsímil</v>
      </c>
      <c r="K4391" s="15" t="s">
        <v>23</v>
      </c>
    </row>
    <row r="4392" spans="1:11" ht="42" customHeight="1">
      <c r="A4392" s="4" t="s">
        <v>10990</v>
      </c>
      <c r="B4392" s="5" t="s">
        <v>10990</v>
      </c>
      <c r="C4392" s="5" t="s">
        <v>40</v>
      </c>
      <c r="D4392" s="5" t="s">
        <v>41</v>
      </c>
      <c r="E4392" s="5" t="s">
        <v>910</v>
      </c>
      <c r="F4392" s="9">
        <v>66</v>
      </c>
      <c r="G4392" s="9">
        <v>716</v>
      </c>
      <c r="H4392" s="5" t="s">
        <v>21</v>
      </c>
      <c r="I4392" s="5" t="s">
        <v>10991</v>
      </c>
      <c r="J4392" s="12" t="str">
        <f>HYPERLINK("https://www.boe.es/gazeta/dias/1803/08/19/pdfs/GMD-1803-66.pdf#page=4","Abrir facsímil")</f>
        <v>Abrir facsímil</v>
      </c>
      <c r="K4392" s="15" t="s">
        <v>23</v>
      </c>
    </row>
    <row r="4393" spans="1:11" ht="42" customHeight="1">
      <c r="A4393" s="4" t="s">
        <v>10992</v>
      </c>
      <c r="B4393" s="5" t="s">
        <v>10992</v>
      </c>
      <c r="C4393" s="5" t="s">
        <v>26</v>
      </c>
      <c r="D4393" s="5" t="s">
        <v>27</v>
      </c>
      <c r="E4393" s="5" t="s">
        <v>657</v>
      </c>
      <c r="F4393" s="9">
        <v>24</v>
      </c>
      <c r="G4393" s="9">
        <v>249</v>
      </c>
      <c r="H4393" s="5" t="s">
        <v>21</v>
      </c>
      <c r="I4393" s="5" t="s">
        <v>10993</v>
      </c>
      <c r="J4393" s="12" t="str">
        <f>HYPERLINK("https://www.boe.es/gazeta/dias/1803/03/25/pdfs/GMD-1803-24.pdf#page=1","Abrir facsímil")</f>
        <v>Abrir facsímil</v>
      </c>
      <c r="K4393" s="15" t="s">
        <v>23</v>
      </c>
    </row>
    <row r="4394" spans="1:11" ht="42" customHeight="1">
      <c r="A4394" s="4" t="s">
        <v>10994</v>
      </c>
      <c r="B4394" s="5" t="s">
        <v>10994</v>
      </c>
      <c r="C4394" s="5" t="s">
        <v>40</v>
      </c>
      <c r="D4394" s="5" t="s">
        <v>41</v>
      </c>
      <c r="E4394" s="5" t="s">
        <v>272</v>
      </c>
      <c r="F4394" s="9">
        <v>25</v>
      </c>
      <c r="G4394" s="9">
        <v>263</v>
      </c>
      <c r="H4394" s="5" t="s">
        <v>21</v>
      </c>
      <c r="I4394" s="5" t="s">
        <v>10995</v>
      </c>
      <c r="J4394" s="12" t="str">
        <f>HYPERLINK("https://www.boe.es/gazeta/dias/1803/03/29/pdfs/GMD-1803-25.pdf#page=3","Abrir facsímil")</f>
        <v>Abrir facsímil</v>
      </c>
      <c r="K4394" s="15" t="s">
        <v>23</v>
      </c>
    </row>
    <row r="4395" spans="1:11" ht="42" customHeight="1">
      <c r="A4395" s="4" t="s">
        <v>10996</v>
      </c>
      <c r="B4395" s="5" t="s">
        <v>10997</v>
      </c>
      <c r="C4395" s="5" t="s">
        <v>26</v>
      </c>
      <c r="D4395" s="5" t="s">
        <v>27</v>
      </c>
      <c r="E4395" s="5" t="s">
        <v>361</v>
      </c>
      <c r="F4395" s="9">
        <v>62</v>
      </c>
      <c r="G4395" s="9">
        <v>670</v>
      </c>
      <c r="H4395" s="5" t="s">
        <v>21</v>
      </c>
      <c r="I4395" s="5" t="s">
        <v>10998</v>
      </c>
      <c r="J4395" s="12" t="str">
        <f>HYPERLINK("https://www.boe.es/gazeta/dias/1803/08/05/pdfs/GMD-1803-62.pdf#page=2","Abrir facsímil")</f>
        <v>Abrir facsímil</v>
      </c>
      <c r="K4395" s="15" t="s">
        <v>23</v>
      </c>
    </row>
    <row r="4396" spans="1:11" ht="42" customHeight="1">
      <c r="A4396" s="4" t="s">
        <v>10999</v>
      </c>
      <c r="B4396" s="5" t="s">
        <v>11000</v>
      </c>
      <c r="C4396" s="5" t="s">
        <v>40</v>
      </c>
      <c r="D4396" s="5" t="s">
        <v>41</v>
      </c>
      <c r="E4396" s="5" t="s">
        <v>609</v>
      </c>
      <c r="F4396" s="9">
        <v>57</v>
      </c>
      <c r="G4396" s="9">
        <v>613</v>
      </c>
      <c r="H4396" s="5" t="s">
        <v>21</v>
      </c>
      <c r="I4396" s="5" t="s">
        <v>11001</v>
      </c>
      <c r="J4396" s="12" t="str">
        <f>HYPERLINK("https://www.boe.es/gazeta/dias/1803/07/19/pdfs/GMD-1803-57.pdf#page=1","Abrir facsímil")</f>
        <v>Abrir facsímil</v>
      </c>
      <c r="K4396" s="15" t="s">
        <v>23</v>
      </c>
    </row>
    <row r="4397" spans="1:11" ht="42" customHeight="1">
      <c r="A4397" s="4" t="s">
        <v>11002</v>
      </c>
      <c r="B4397" s="5" t="s">
        <v>11003</v>
      </c>
      <c r="C4397" s="5" t="s">
        <v>40</v>
      </c>
      <c r="D4397" s="5" t="s">
        <v>41</v>
      </c>
      <c r="E4397" s="5" t="s">
        <v>293</v>
      </c>
      <c r="F4397" s="9">
        <v>45</v>
      </c>
      <c r="G4397" s="9">
        <v>466</v>
      </c>
      <c r="H4397" s="5" t="s">
        <v>21</v>
      </c>
      <c r="I4397" s="5" t="s">
        <v>11004</v>
      </c>
      <c r="J4397" s="12" t="str">
        <f>HYPERLINK("https://www.boe.es/gazeta/dias/1803/06/07/pdfs/GMD-1803-45.pdf#page=2","Abrir facsímil")</f>
        <v>Abrir facsímil</v>
      </c>
      <c r="K4397" s="15" t="s">
        <v>23</v>
      </c>
    </row>
    <row r="4398" spans="1:11" ht="42" customHeight="1">
      <c r="A4398" s="4" t="s">
        <v>11005</v>
      </c>
      <c r="B4398" s="5" t="s">
        <v>11006</v>
      </c>
      <c r="C4398" s="5" t="s">
        <v>26</v>
      </c>
      <c r="D4398" s="5" t="s">
        <v>27</v>
      </c>
      <c r="E4398" s="5" t="s">
        <v>571</v>
      </c>
      <c r="F4398" s="9">
        <v>103</v>
      </c>
      <c r="G4398" s="9">
        <v>1105</v>
      </c>
      <c r="H4398" s="5" t="s">
        <v>21</v>
      </c>
      <c r="I4398" s="5" t="s">
        <v>11007</v>
      </c>
      <c r="J4398" s="12" t="str">
        <f>HYPERLINK("https://www.boe.es/gazeta/dias/1803/12/23/pdfs/GMD-1803-103.pdf#page=5","Abrir facsímil")</f>
        <v>Abrir facsímil</v>
      </c>
      <c r="K4398" s="15" t="s">
        <v>23</v>
      </c>
    </row>
    <row r="4399" spans="1:11" ht="42" customHeight="1">
      <c r="A4399" s="4" t="s">
        <v>11008</v>
      </c>
      <c r="B4399" s="5" t="s">
        <v>11009</v>
      </c>
      <c r="C4399" s="5" t="s">
        <v>26</v>
      </c>
      <c r="D4399" s="5" t="s">
        <v>27</v>
      </c>
      <c r="E4399" s="5" t="s">
        <v>102</v>
      </c>
      <c r="F4399" s="9">
        <v>31</v>
      </c>
      <c r="G4399" s="9">
        <v>326</v>
      </c>
      <c r="H4399" s="5" t="s">
        <v>21</v>
      </c>
      <c r="I4399" s="5" t="s">
        <v>11010</v>
      </c>
      <c r="J4399" s="12" t="str">
        <f>HYPERLINK("https://www.boe.es/gazeta/dias/1803/04/19/pdfs/GMD-1803-31.pdf#page=6","Abrir facsímil")</f>
        <v>Abrir facsímil</v>
      </c>
      <c r="K4399" s="15" t="s">
        <v>23</v>
      </c>
    </row>
    <row r="4400" spans="1:11" ht="42" customHeight="1">
      <c r="A4400" s="4" t="s">
        <v>11011</v>
      </c>
      <c r="B4400" s="5" t="s">
        <v>11012</v>
      </c>
      <c r="C4400" s="5" t="s">
        <v>18</v>
      </c>
      <c r="D4400" s="5" t="s">
        <v>19</v>
      </c>
      <c r="E4400" s="5" t="s">
        <v>258</v>
      </c>
      <c r="F4400" s="9">
        <v>7</v>
      </c>
      <c r="G4400" s="9">
        <v>68</v>
      </c>
      <c r="H4400" s="5" t="s">
        <v>21</v>
      </c>
      <c r="I4400" s="5" t="s">
        <v>11013</v>
      </c>
      <c r="J4400" s="12" t="str">
        <f>HYPERLINK("https://www.boe.es/gazeta/dias/1803/01/25/pdfs/GMD-1803-7.pdf#page=8","Abrir facsímil")</f>
        <v>Abrir facsímil</v>
      </c>
      <c r="K4400" s="15" t="s">
        <v>23</v>
      </c>
    </row>
    <row r="4401" spans="1:11" ht="42" customHeight="1">
      <c r="A4401" s="4" t="s">
        <v>11011</v>
      </c>
      <c r="B4401" s="5" t="s">
        <v>11012</v>
      </c>
      <c r="C4401" s="5" t="s">
        <v>40</v>
      </c>
      <c r="D4401" s="5" t="s">
        <v>41</v>
      </c>
      <c r="E4401" s="5" t="s">
        <v>124</v>
      </c>
      <c r="F4401" s="9">
        <v>20</v>
      </c>
      <c r="G4401" s="9">
        <v>209</v>
      </c>
      <c r="H4401" s="5" t="s">
        <v>21</v>
      </c>
      <c r="I4401" s="5" t="s">
        <v>11014</v>
      </c>
      <c r="J4401" s="12" t="str">
        <f>HYPERLINK("https://www.boe.es/gazeta/dias/1803/03/11/pdfs/GMD-1803-20.pdf#page=5","Abrir facsímil")</f>
        <v>Abrir facsímil</v>
      </c>
      <c r="K4401" s="15" t="s">
        <v>23</v>
      </c>
    </row>
    <row r="4402" spans="1:11" ht="42" customHeight="1">
      <c r="A4402" s="4" t="s">
        <v>11015</v>
      </c>
      <c r="B4402" s="5" t="s">
        <v>11016</v>
      </c>
      <c r="C4402" s="5" t="s">
        <v>26</v>
      </c>
      <c r="D4402" s="5" t="s">
        <v>27</v>
      </c>
      <c r="E4402" s="5" t="s">
        <v>124</v>
      </c>
      <c r="F4402" s="9">
        <v>20</v>
      </c>
      <c r="G4402" s="9">
        <v>210</v>
      </c>
      <c r="H4402" s="5" t="s">
        <v>21</v>
      </c>
      <c r="I4402" s="5" t="s">
        <v>11017</v>
      </c>
      <c r="J4402" s="12" t="str">
        <f>HYPERLINK("https://www.boe.es/gazeta/dias/1803/03/11/pdfs/GMD-1803-20.pdf#page=6","Abrir facsímil")</f>
        <v>Abrir facsímil</v>
      </c>
      <c r="K4402" s="15" t="s">
        <v>23</v>
      </c>
    </row>
    <row r="4403" spans="1:11" ht="42" customHeight="1">
      <c r="A4403" s="4" t="s">
        <v>11018</v>
      </c>
      <c r="B4403" s="5" t="s">
        <v>11018</v>
      </c>
      <c r="C4403" s="5" t="s">
        <v>40</v>
      </c>
      <c r="D4403" s="5" t="s">
        <v>41</v>
      </c>
      <c r="E4403" s="5" t="s">
        <v>53</v>
      </c>
      <c r="F4403" s="9">
        <v>99</v>
      </c>
      <c r="G4403" s="9">
        <v>1057</v>
      </c>
      <c r="H4403" s="5" t="s">
        <v>21</v>
      </c>
      <c r="I4403" s="5" t="s">
        <v>11019</v>
      </c>
      <c r="J4403" s="12" t="str">
        <f>HYPERLINK("https://www.boe.es/gazeta/dias/1803/12/09/pdfs/GMD-1803-99.pdf#page=5","Abrir facsímil")</f>
        <v>Abrir facsímil</v>
      </c>
      <c r="K4403" s="15" t="s">
        <v>23</v>
      </c>
    </row>
    <row r="4404" spans="1:11" ht="42" customHeight="1">
      <c r="A4404" s="4" t="s">
        <v>11020</v>
      </c>
      <c r="B4404" s="5" t="s">
        <v>11020</v>
      </c>
      <c r="C4404" s="5" t="s">
        <v>51</v>
      </c>
      <c r="D4404" s="5" t="s">
        <v>52</v>
      </c>
      <c r="E4404" s="5" t="s">
        <v>68</v>
      </c>
      <c r="F4404" s="9">
        <v>23</v>
      </c>
      <c r="G4404" s="9">
        <v>248</v>
      </c>
      <c r="H4404" s="5" t="s">
        <v>21</v>
      </c>
      <c r="I4404" s="5" t="s">
        <v>11021</v>
      </c>
      <c r="J4404" s="12" t="str">
        <f>HYPERLINK("https://www.boe.es/gazeta/dias/1803/03/22/pdfs/GMD-1803-23.pdf#page=8","Abrir facsímil")</f>
        <v>Abrir facsímil</v>
      </c>
      <c r="K4404" s="15" t="s">
        <v>23</v>
      </c>
    </row>
    <row r="4405" spans="1:11" ht="42" customHeight="1">
      <c r="A4405" s="4" t="s">
        <v>11022</v>
      </c>
      <c r="B4405" s="5" t="s">
        <v>11022</v>
      </c>
      <c r="C4405" s="5" t="s">
        <v>40</v>
      </c>
      <c r="D4405" s="5" t="s">
        <v>41</v>
      </c>
      <c r="E4405" s="5" t="s">
        <v>726</v>
      </c>
      <c r="F4405" s="9">
        <v>78</v>
      </c>
      <c r="G4405" s="9">
        <v>841</v>
      </c>
      <c r="H4405" s="5" t="s">
        <v>21</v>
      </c>
      <c r="I4405" s="5" t="s">
        <v>11023</v>
      </c>
      <c r="J4405" s="12" t="str">
        <f>HYPERLINK("https://www.boe.es/gazeta/dias/1803/09/27/pdfs/GMD-1803-78.pdf#page=5","Abrir facsímil")</f>
        <v>Abrir facsímil</v>
      </c>
      <c r="K4405" s="15" t="s">
        <v>23</v>
      </c>
    </row>
    <row r="4406" spans="1:11" ht="42" customHeight="1">
      <c r="A4406" s="4" t="s">
        <v>11024</v>
      </c>
      <c r="B4406" s="5" t="s">
        <v>11025</v>
      </c>
      <c r="C4406" s="5" t="s">
        <v>26</v>
      </c>
      <c r="D4406" s="5" t="s">
        <v>27</v>
      </c>
      <c r="E4406" s="5" t="s">
        <v>630</v>
      </c>
      <c r="F4406" s="9">
        <v>85</v>
      </c>
      <c r="G4406" s="9">
        <v>917</v>
      </c>
      <c r="H4406" s="5" t="s">
        <v>21</v>
      </c>
      <c r="I4406" s="5" t="s">
        <v>11026</v>
      </c>
      <c r="J4406" s="12" t="str">
        <f>HYPERLINK("https://www.boe.es/gazeta/dias/1803/10/21/pdfs/GMD-1803-85.pdf#page=9","Abrir facsímil")</f>
        <v>Abrir facsímil</v>
      </c>
      <c r="K4406" s="15" t="s">
        <v>23</v>
      </c>
    </row>
    <row r="4407" spans="1:11" ht="42" customHeight="1">
      <c r="A4407" s="4" t="s">
        <v>11027</v>
      </c>
      <c r="B4407" s="5" t="s">
        <v>11028</v>
      </c>
      <c r="C4407" s="5" t="s">
        <v>40</v>
      </c>
      <c r="D4407" s="5" t="s">
        <v>41</v>
      </c>
      <c r="E4407" s="5" t="s">
        <v>395</v>
      </c>
      <c r="F4407" s="9">
        <v>13</v>
      </c>
      <c r="G4407" s="9">
        <v>129</v>
      </c>
      <c r="H4407" s="5" t="s">
        <v>21</v>
      </c>
      <c r="I4407" s="5" t="s">
        <v>11029</v>
      </c>
      <c r="J4407" s="12" t="str">
        <f>HYPERLINK("https://www.boe.es/gazeta/dias/1803/02/15/pdfs/GMD-1803-13.pdf#page=5","Abrir facsímil")</f>
        <v>Abrir facsímil</v>
      </c>
      <c r="K4407" s="15" t="s">
        <v>23</v>
      </c>
    </row>
    <row r="4408" spans="1:11" ht="42" customHeight="1">
      <c r="A4408" s="4" t="s">
        <v>11030</v>
      </c>
      <c r="B4408" s="5" t="s">
        <v>11030</v>
      </c>
      <c r="C4408" s="5" t="s">
        <v>26</v>
      </c>
      <c r="D4408" s="5" t="s">
        <v>27</v>
      </c>
      <c r="E4408" s="5" t="s">
        <v>156</v>
      </c>
      <c r="F4408" s="9">
        <v>2</v>
      </c>
      <c r="G4408" s="9">
        <v>13</v>
      </c>
      <c r="H4408" s="5" t="s">
        <v>21</v>
      </c>
      <c r="I4408" s="5" t="s">
        <v>11031</v>
      </c>
      <c r="J4408" s="12" t="str">
        <f>HYPERLINK("https://www.boe.es/gazeta/dias/1803/01/07/pdfs/GMD-1803-2.pdf#page=5","Abrir facsímil")</f>
        <v>Abrir facsímil</v>
      </c>
      <c r="K4408" s="15" t="s">
        <v>23</v>
      </c>
    </row>
    <row r="4409" spans="1:11" ht="42" customHeight="1">
      <c r="A4409" s="4" t="s">
        <v>11032</v>
      </c>
      <c r="B4409" s="5" t="s">
        <v>11033</v>
      </c>
      <c r="C4409" s="5" t="s">
        <v>26</v>
      </c>
      <c r="D4409" s="5" t="s">
        <v>27</v>
      </c>
      <c r="E4409" s="5" t="s">
        <v>340</v>
      </c>
      <c r="F4409" s="9">
        <v>55</v>
      </c>
      <c r="G4409" s="9">
        <v>598</v>
      </c>
      <c r="H4409" s="5" t="s">
        <v>21</v>
      </c>
      <c r="I4409" s="5" t="s">
        <v>11034</v>
      </c>
      <c r="J4409" s="12" t="str">
        <f>HYPERLINK("https://www.boe.es/gazeta/dias/1803/07/12/pdfs/GMD-1803-55.pdf#page=6","Abrir facsímil")</f>
        <v>Abrir facsímil</v>
      </c>
      <c r="K4409" s="15" t="s">
        <v>23</v>
      </c>
    </row>
    <row r="4410" spans="1:11" ht="42" customHeight="1">
      <c r="A4410" s="4" t="s">
        <v>11035</v>
      </c>
      <c r="B4410" s="5" t="s">
        <v>11035</v>
      </c>
      <c r="C4410" s="5" t="s">
        <v>40</v>
      </c>
      <c r="D4410" s="5" t="s">
        <v>41</v>
      </c>
      <c r="E4410" s="5" t="s">
        <v>619</v>
      </c>
      <c r="F4410" s="9">
        <v>53</v>
      </c>
      <c r="G4410" s="9">
        <v>573</v>
      </c>
      <c r="H4410" s="5" t="s">
        <v>21</v>
      </c>
      <c r="I4410" s="5" t="s">
        <v>11036</v>
      </c>
      <c r="J4410" s="12" t="str">
        <f>HYPERLINK("https://www.boe.es/gazeta/dias/1803/07/05/pdfs/GMD-1803-53.pdf#page=5","Abrir facsímil")</f>
        <v>Abrir facsímil</v>
      </c>
      <c r="K4410" s="15" t="s">
        <v>23</v>
      </c>
    </row>
    <row r="4411" spans="1:11" ht="42" customHeight="1">
      <c r="A4411" s="4" t="s">
        <v>11037</v>
      </c>
      <c r="B4411" s="5" t="s">
        <v>11038</v>
      </c>
      <c r="C4411" s="5" t="s">
        <v>40</v>
      </c>
      <c r="D4411" s="5" t="s">
        <v>41</v>
      </c>
      <c r="E4411" s="5" t="s">
        <v>293</v>
      </c>
      <c r="F4411" s="9">
        <v>45</v>
      </c>
      <c r="G4411" s="9">
        <v>472</v>
      </c>
      <c r="H4411" s="5" t="s">
        <v>21</v>
      </c>
      <c r="I4411" s="5" t="s">
        <v>11039</v>
      </c>
      <c r="J4411" s="12" t="str">
        <f>HYPERLINK("https://www.boe.es/gazeta/dias/1803/06/07/pdfs/GMD-1803-45.pdf#page=8","Abrir facsímil")</f>
        <v>Abrir facsímil</v>
      </c>
      <c r="K4411" s="15" t="s">
        <v>23</v>
      </c>
    </row>
    <row r="4412" spans="1:11" ht="42" customHeight="1">
      <c r="A4412" s="4" t="s">
        <v>11040</v>
      </c>
      <c r="B4412" s="5" t="s">
        <v>11041</v>
      </c>
      <c r="C4412" s="5" t="s">
        <v>40</v>
      </c>
      <c r="D4412" s="5" t="s">
        <v>41</v>
      </c>
      <c r="E4412" s="5" t="s">
        <v>477</v>
      </c>
      <c r="F4412" s="9">
        <v>48</v>
      </c>
      <c r="G4412" s="9">
        <v>501</v>
      </c>
      <c r="H4412" s="5" t="s">
        <v>21</v>
      </c>
      <c r="I4412" s="5" t="s">
        <v>11042</v>
      </c>
      <c r="J4412" s="12" t="str">
        <f>HYPERLINK("https://www.boe.es/gazeta/dias/1803/06/17/pdfs/GMD-1803-48.pdf#page=1","Abrir facsímil")</f>
        <v>Abrir facsímil</v>
      </c>
      <c r="K4412" s="15" t="s">
        <v>23</v>
      </c>
    </row>
    <row r="4413" spans="1:11" ht="42" customHeight="1">
      <c r="A4413" s="4" t="s">
        <v>11040</v>
      </c>
      <c r="B4413" s="5" t="s">
        <v>11041</v>
      </c>
      <c r="C4413" s="5" t="s">
        <v>40</v>
      </c>
      <c r="D4413" s="5" t="s">
        <v>41</v>
      </c>
      <c r="E4413" s="5" t="s">
        <v>477</v>
      </c>
      <c r="F4413" s="9">
        <v>48</v>
      </c>
      <c r="G4413" s="9">
        <v>506</v>
      </c>
      <c r="H4413" s="5" t="s">
        <v>21</v>
      </c>
      <c r="I4413" s="5" t="s">
        <v>11043</v>
      </c>
      <c r="J4413" s="12" t="str">
        <f>HYPERLINK("https://www.boe.es/gazeta/dias/1803/06/17/pdfs/GMD-1803-48.pdf#page=6","Abrir facsímil")</f>
        <v>Abrir facsímil</v>
      </c>
      <c r="K4413" s="15" t="s">
        <v>23</v>
      </c>
    </row>
    <row r="4414" spans="1:11" ht="42" customHeight="1">
      <c r="A4414" s="4" t="s">
        <v>11044</v>
      </c>
      <c r="B4414" s="5" t="s">
        <v>11045</v>
      </c>
      <c r="C4414" s="5" t="s">
        <v>40</v>
      </c>
      <c r="D4414" s="5" t="s">
        <v>41</v>
      </c>
      <c r="E4414" s="5" t="s">
        <v>293</v>
      </c>
      <c r="F4414" s="9">
        <v>45</v>
      </c>
      <c r="G4414" s="9">
        <v>469</v>
      </c>
      <c r="H4414" s="5" t="s">
        <v>21</v>
      </c>
      <c r="I4414" s="5" t="s">
        <v>11046</v>
      </c>
      <c r="J4414" s="12" t="str">
        <f>HYPERLINK("https://www.boe.es/gazeta/dias/1803/06/07/pdfs/GMD-1803-45.pdf#page=5","Abrir facsímil")</f>
        <v>Abrir facsímil</v>
      </c>
      <c r="K4414" s="15" t="s">
        <v>23</v>
      </c>
    </row>
    <row r="4415" spans="1:11" ht="42" customHeight="1">
      <c r="A4415" s="4" t="s">
        <v>11047</v>
      </c>
      <c r="B4415" s="5" t="s">
        <v>11048</v>
      </c>
      <c r="C4415" s="5" t="s">
        <v>40</v>
      </c>
      <c r="D4415" s="5" t="s">
        <v>41</v>
      </c>
      <c r="E4415" s="5" t="s">
        <v>93</v>
      </c>
      <c r="F4415" s="9">
        <v>43</v>
      </c>
      <c r="G4415" s="9">
        <v>446</v>
      </c>
      <c r="H4415" s="5" t="s">
        <v>21</v>
      </c>
      <c r="I4415" s="5" t="s">
        <v>11049</v>
      </c>
      <c r="J4415" s="12" t="str">
        <f>HYPERLINK("https://www.boe.es/gazeta/dias/1803/05/31/pdfs/GMD-1803-43.pdf#page=6","Abrir facsímil")</f>
        <v>Abrir facsímil</v>
      </c>
      <c r="K4415" s="15" t="s">
        <v>23</v>
      </c>
    </row>
    <row r="4416" spans="1:11" ht="42" customHeight="1">
      <c r="A4416" s="4" t="s">
        <v>11047</v>
      </c>
      <c r="B4416" s="5" t="s">
        <v>11048</v>
      </c>
      <c r="C4416" s="5" t="s">
        <v>40</v>
      </c>
      <c r="D4416" s="5" t="s">
        <v>41</v>
      </c>
      <c r="E4416" s="5" t="s">
        <v>93</v>
      </c>
      <c r="F4416" s="9">
        <v>43</v>
      </c>
      <c r="G4416" s="9">
        <v>447</v>
      </c>
      <c r="H4416" s="5" t="s">
        <v>21</v>
      </c>
      <c r="I4416" s="5" t="s">
        <v>11050</v>
      </c>
      <c r="J4416" s="12" t="str">
        <f>HYPERLINK("https://www.boe.es/gazeta/dias/1803/05/31/pdfs/GMD-1803-43.pdf#page=7","Abrir facsímil")</f>
        <v>Abrir facsímil</v>
      </c>
      <c r="K4416" s="15" t="s">
        <v>23</v>
      </c>
    </row>
    <row r="4417" spans="1:11" ht="42" customHeight="1">
      <c r="A4417" s="4" t="s">
        <v>11047</v>
      </c>
      <c r="B4417" s="5" t="s">
        <v>11048</v>
      </c>
      <c r="C4417" s="5" t="s">
        <v>40</v>
      </c>
      <c r="D4417" s="5" t="s">
        <v>41</v>
      </c>
      <c r="E4417" s="5" t="s">
        <v>293</v>
      </c>
      <c r="F4417" s="9">
        <v>45</v>
      </c>
      <c r="G4417" s="9">
        <v>471</v>
      </c>
      <c r="H4417" s="5" t="s">
        <v>21</v>
      </c>
      <c r="I4417" s="5" t="s">
        <v>11051</v>
      </c>
      <c r="J4417" s="12" t="str">
        <f>HYPERLINK("https://www.boe.es/gazeta/dias/1803/06/07/pdfs/GMD-1803-45.pdf#page=7","Abrir facsímil")</f>
        <v>Abrir facsímil</v>
      </c>
      <c r="K4417" s="15" t="s">
        <v>23</v>
      </c>
    </row>
    <row r="4418" spans="1:11" ht="42" customHeight="1">
      <c r="A4418" s="4" t="s">
        <v>11047</v>
      </c>
      <c r="B4418" s="5" t="s">
        <v>11048</v>
      </c>
      <c r="C4418" s="5" t="s">
        <v>40</v>
      </c>
      <c r="D4418" s="5" t="s">
        <v>41</v>
      </c>
      <c r="E4418" s="5" t="s">
        <v>293</v>
      </c>
      <c r="F4418" s="9">
        <v>45</v>
      </c>
      <c r="G4418" s="9">
        <v>472</v>
      </c>
      <c r="H4418" s="5" t="s">
        <v>21</v>
      </c>
      <c r="I4418" s="5" t="s">
        <v>11052</v>
      </c>
      <c r="J4418" s="12" t="str">
        <f>HYPERLINK("https://www.boe.es/gazeta/dias/1803/06/07/pdfs/GMD-1803-45.pdf#page=8","Abrir facsímil")</f>
        <v>Abrir facsímil</v>
      </c>
      <c r="K4418" s="15" t="s">
        <v>23</v>
      </c>
    </row>
    <row r="4419" spans="1:11" ht="42" customHeight="1">
      <c r="A4419" s="4" t="s">
        <v>11047</v>
      </c>
      <c r="B4419" s="5" t="s">
        <v>11048</v>
      </c>
      <c r="C4419" s="5" t="s">
        <v>51</v>
      </c>
      <c r="D4419" s="5" t="s">
        <v>52</v>
      </c>
      <c r="E4419" s="5" t="s">
        <v>293</v>
      </c>
      <c r="F4419" s="9">
        <v>45</v>
      </c>
      <c r="G4419" s="9">
        <v>473</v>
      </c>
      <c r="H4419" s="5" t="s">
        <v>21</v>
      </c>
      <c r="I4419" s="5" t="s">
        <v>11053</v>
      </c>
      <c r="J4419" s="12" t="str">
        <f>HYPERLINK("https://www.boe.es/gazeta/dias/1803/06/07/pdfs/GMD-1803-45.pdf#page=9","Abrir facsímil")</f>
        <v>Abrir facsímil</v>
      </c>
      <c r="K4419" s="15" t="s">
        <v>23</v>
      </c>
    </row>
    <row r="4420" spans="1:11" ht="42" customHeight="1">
      <c r="A4420" s="4" t="s">
        <v>11047</v>
      </c>
      <c r="B4420" s="5" t="s">
        <v>11048</v>
      </c>
      <c r="C4420" s="5" t="s">
        <v>26</v>
      </c>
      <c r="D4420" s="5" t="s">
        <v>27</v>
      </c>
      <c r="E4420" s="5" t="s">
        <v>278</v>
      </c>
      <c r="F4420" s="9">
        <v>46</v>
      </c>
      <c r="G4420" s="9">
        <v>481</v>
      </c>
      <c r="H4420" s="5" t="s">
        <v>21</v>
      </c>
      <c r="I4420" s="5" t="s">
        <v>11054</v>
      </c>
      <c r="J4420" s="12" t="str">
        <f>HYPERLINK("https://www.boe.es/gazeta/dias/1803/06/10/pdfs/GMD-1803-46.pdf#page=5","Abrir facsímil")</f>
        <v>Abrir facsímil</v>
      </c>
      <c r="K4420" s="15" t="s">
        <v>23</v>
      </c>
    </row>
    <row r="4421" spans="1:11" ht="42" customHeight="1">
      <c r="A4421" s="4" t="s">
        <v>11047</v>
      </c>
      <c r="B4421" s="5" t="s">
        <v>11048</v>
      </c>
      <c r="C4421" s="5" t="s">
        <v>51</v>
      </c>
      <c r="D4421" s="5" t="s">
        <v>52</v>
      </c>
      <c r="E4421" s="5" t="s">
        <v>278</v>
      </c>
      <c r="F4421" s="9">
        <v>46</v>
      </c>
      <c r="G4421" s="9">
        <v>482</v>
      </c>
      <c r="H4421" s="5" t="s">
        <v>21</v>
      </c>
      <c r="I4421" s="5" t="s">
        <v>11055</v>
      </c>
      <c r="J4421" s="12" t="str">
        <f>HYPERLINK("https://www.boe.es/gazeta/dias/1803/06/10/pdfs/GMD-1803-46.pdf#page=6","Abrir facsímil")</f>
        <v>Abrir facsímil</v>
      </c>
      <c r="K4421" s="15" t="s">
        <v>23</v>
      </c>
    </row>
    <row r="4422" spans="1:11" ht="42" customHeight="1">
      <c r="A4422" s="4" t="s">
        <v>11047</v>
      </c>
      <c r="B4422" s="5" t="s">
        <v>11048</v>
      </c>
      <c r="C4422" s="5" t="s">
        <v>26</v>
      </c>
      <c r="D4422" s="5" t="s">
        <v>27</v>
      </c>
      <c r="E4422" s="5" t="s">
        <v>278</v>
      </c>
      <c r="F4422" s="9">
        <v>46</v>
      </c>
      <c r="G4422" s="9">
        <v>483</v>
      </c>
      <c r="H4422" s="5" t="s">
        <v>21</v>
      </c>
      <c r="I4422" s="5" t="s">
        <v>11056</v>
      </c>
      <c r="J4422" s="12" t="str">
        <f>HYPERLINK("https://www.boe.es/gazeta/dias/1803/06/10/pdfs/GMD-1803-46.pdf#page=7","Abrir facsímil")</f>
        <v>Abrir facsímil</v>
      </c>
      <c r="K4422" s="15" t="s">
        <v>23</v>
      </c>
    </row>
    <row r="4423" spans="1:11" ht="42" customHeight="1">
      <c r="A4423" s="4" t="s">
        <v>11047</v>
      </c>
      <c r="B4423" s="5" t="s">
        <v>11048</v>
      </c>
      <c r="C4423" s="5" t="s">
        <v>51</v>
      </c>
      <c r="D4423" s="5" t="s">
        <v>52</v>
      </c>
      <c r="E4423" s="5" t="s">
        <v>278</v>
      </c>
      <c r="F4423" s="9">
        <v>46</v>
      </c>
      <c r="G4423" s="9">
        <v>484</v>
      </c>
      <c r="H4423" s="5" t="s">
        <v>21</v>
      </c>
      <c r="I4423" s="5" t="s">
        <v>11057</v>
      </c>
      <c r="J4423" s="12" t="str">
        <f>HYPERLINK("https://www.boe.es/gazeta/dias/1803/06/10/pdfs/GMD-1803-46.pdf#page=8","Abrir facsímil")</f>
        <v>Abrir facsímil</v>
      </c>
      <c r="K4423" s="15" t="s">
        <v>23</v>
      </c>
    </row>
    <row r="4424" spans="1:11" ht="42" customHeight="1">
      <c r="A4424" s="4" t="s">
        <v>11047</v>
      </c>
      <c r="B4424" s="5" t="s">
        <v>11048</v>
      </c>
      <c r="C4424" s="5" t="s">
        <v>51</v>
      </c>
      <c r="D4424" s="5" t="s">
        <v>52</v>
      </c>
      <c r="E4424" s="5" t="s">
        <v>278</v>
      </c>
      <c r="F4424" s="9">
        <v>46</v>
      </c>
      <c r="G4424" s="9">
        <v>485</v>
      </c>
      <c r="H4424" s="5" t="s">
        <v>21</v>
      </c>
      <c r="I4424" s="5" t="s">
        <v>11058</v>
      </c>
      <c r="J4424" s="12" t="str">
        <f>HYPERLINK("https://www.boe.es/gazeta/dias/1803/06/10/pdfs/GMD-1803-46.pdf#page=9","Abrir facsímil")</f>
        <v>Abrir facsímil</v>
      </c>
      <c r="K4424" s="15" t="s">
        <v>23</v>
      </c>
    </row>
    <row r="4425" spans="1:11" ht="42" customHeight="1">
      <c r="A4425" s="4" t="s">
        <v>11047</v>
      </c>
      <c r="B4425" s="5" t="s">
        <v>11048</v>
      </c>
      <c r="C4425" s="5" t="s">
        <v>40</v>
      </c>
      <c r="D4425" s="5" t="s">
        <v>41</v>
      </c>
      <c r="E4425" s="5" t="s">
        <v>606</v>
      </c>
      <c r="F4425" s="9">
        <v>47</v>
      </c>
      <c r="G4425" s="9">
        <v>493</v>
      </c>
      <c r="H4425" s="5" t="s">
        <v>21</v>
      </c>
      <c r="I4425" s="5" t="s">
        <v>11059</v>
      </c>
      <c r="J4425" s="12" t="str">
        <f>HYPERLINK("https://www.boe.es/gazeta/dias/1803/06/14/pdfs/GMD-1803-47.pdf#page=5","Abrir facsímil")</f>
        <v>Abrir facsímil</v>
      </c>
      <c r="K4425" s="15" t="s">
        <v>23</v>
      </c>
    </row>
    <row r="4426" spans="1:11" ht="42" customHeight="1">
      <c r="A4426" s="4" t="s">
        <v>11047</v>
      </c>
      <c r="B4426" s="5" t="s">
        <v>11048</v>
      </c>
      <c r="C4426" s="5" t="s">
        <v>40</v>
      </c>
      <c r="D4426" s="5" t="s">
        <v>41</v>
      </c>
      <c r="E4426" s="5" t="s">
        <v>477</v>
      </c>
      <c r="F4426" s="9">
        <v>48</v>
      </c>
      <c r="G4426" s="9">
        <v>508</v>
      </c>
      <c r="H4426" s="5" t="s">
        <v>21</v>
      </c>
      <c r="I4426" s="5" t="s">
        <v>11060</v>
      </c>
      <c r="J4426" s="12" t="str">
        <f>HYPERLINK("https://www.boe.es/gazeta/dias/1803/06/17/pdfs/GMD-1803-48.pdf#page=8","Abrir facsímil")</f>
        <v>Abrir facsímil</v>
      </c>
      <c r="K4426" s="15" t="s">
        <v>23</v>
      </c>
    </row>
    <row r="4427" spans="1:11" ht="42" customHeight="1">
      <c r="A4427" s="4" t="s">
        <v>11061</v>
      </c>
      <c r="B4427" s="5" t="s">
        <v>11062</v>
      </c>
      <c r="C4427" s="5" t="s">
        <v>40</v>
      </c>
      <c r="D4427" s="5" t="s">
        <v>41</v>
      </c>
      <c r="E4427" s="5" t="s">
        <v>85</v>
      </c>
      <c r="F4427" s="9">
        <v>49</v>
      </c>
      <c r="G4427" s="9">
        <v>515</v>
      </c>
      <c r="H4427" s="5" t="s">
        <v>21</v>
      </c>
      <c r="I4427" s="5" t="s">
        <v>11063</v>
      </c>
      <c r="J4427" s="12" t="str">
        <f>HYPERLINK("https://www.boe.es/gazeta/dias/1803/06/21/pdfs/GMD-1803-49.pdf#page=3","Abrir facsímil")</f>
        <v>Abrir facsímil</v>
      </c>
      <c r="K4427" s="15" t="s">
        <v>23</v>
      </c>
    </row>
    <row r="4428" spans="1:11" ht="42" customHeight="1">
      <c r="A4428" s="4" t="s">
        <v>11047</v>
      </c>
      <c r="B4428" s="5" t="s">
        <v>11048</v>
      </c>
      <c r="C4428" s="5" t="s">
        <v>26</v>
      </c>
      <c r="D4428" s="5" t="s">
        <v>27</v>
      </c>
      <c r="E4428" s="5" t="s">
        <v>85</v>
      </c>
      <c r="F4428" s="9">
        <v>49</v>
      </c>
      <c r="G4428" s="9">
        <v>517</v>
      </c>
      <c r="H4428" s="5" t="s">
        <v>21</v>
      </c>
      <c r="I4428" s="5" t="s">
        <v>11064</v>
      </c>
      <c r="J4428" s="12" t="str">
        <f>HYPERLINK("https://www.boe.es/gazeta/dias/1803/06/21/pdfs/GMD-1803-49.pdf#page=5","Abrir facsímil")</f>
        <v>Abrir facsímil</v>
      </c>
      <c r="K4428" s="15" t="s">
        <v>23</v>
      </c>
    </row>
    <row r="4429" spans="1:11" ht="42" customHeight="1">
      <c r="A4429" s="4" t="s">
        <v>11047</v>
      </c>
      <c r="B4429" s="5" t="s">
        <v>11048</v>
      </c>
      <c r="C4429" s="5" t="s">
        <v>40</v>
      </c>
      <c r="D4429" s="5" t="s">
        <v>41</v>
      </c>
      <c r="E4429" s="5" t="s">
        <v>519</v>
      </c>
      <c r="F4429" s="9">
        <v>50</v>
      </c>
      <c r="G4429" s="9">
        <v>533</v>
      </c>
      <c r="H4429" s="5" t="s">
        <v>21</v>
      </c>
      <c r="I4429" s="5" t="s">
        <v>11065</v>
      </c>
      <c r="J4429" s="12" t="str">
        <f>HYPERLINK("https://www.boe.es/gazeta/dias/1803/06/24/pdfs/GMD-1803-50.pdf#page=1","Abrir facsímil")</f>
        <v>Abrir facsímil</v>
      </c>
      <c r="K4429" s="15" t="s">
        <v>23</v>
      </c>
    </row>
    <row r="4430" spans="1:11" ht="42" customHeight="1">
      <c r="A4430" s="4" t="s">
        <v>11047</v>
      </c>
      <c r="B4430" s="5" t="s">
        <v>11048</v>
      </c>
      <c r="C4430" s="5" t="s">
        <v>40</v>
      </c>
      <c r="D4430" s="5" t="s">
        <v>41</v>
      </c>
      <c r="E4430" s="5" t="s">
        <v>57</v>
      </c>
      <c r="F4430" s="9">
        <v>51</v>
      </c>
      <c r="G4430" s="9">
        <v>548</v>
      </c>
      <c r="H4430" s="5" t="s">
        <v>21</v>
      </c>
      <c r="I4430" s="5" t="s">
        <v>11066</v>
      </c>
      <c r="J4430" s="12" t="str">
        <f>HYPERLINK("https://www.boe.es/gazeta/dias/1803/06/28/pdfs/GMD-1803-51.pdf#page=4","Abrir facsímil")</f>
        <v>Abrir facsímil</v>
      </c>
      <c r="K4430" s="15" t="s">
        <v>23</v>
      </c>
    </row>
    <row r="4431" spans="1:11" ht="42" customHeight="1">
      <c r="A4431" s="4" t="s">
        <v>11047</v>
      </c>
      <c r="B4431" s="5" t="s">
        <v>11048</v>
      </c>
      <c r="C4431" s="5" t="s">
        <v>40</v>
      </c>
      <c r="D4431" s="5" t="s">
        <v>41</v>
      </c>
      <c r="E4431" s="5" t="s">
        <v>328</v>
      </c>
      <c r="F4431" s="9">
        <v>54</v>
      </c>
      <c r="G4431" s="9">
        <v>587</v>
      </c>
      <c r="H4431" s="5" t="s">
        <v>21</v>
      </c>
      <c r="I4431" s="5" t="s">
        <v>11067</v>
      </c>
      <c r="J4431" s="12" t="str">
        <f>HYPERLINK("https://www.boe.es/gazeta/dias/1803/07/08/pdfs/GMD-1803-54.pdf#page=7","Abrir facsímil")</f>
        <v>Abrir facsímil</v>
      </c>
      <c r="K4431" s="15" t="s">
        <v>23</v>
      </c>
    </row>
    <row r="4432" spans="1:11" ht="42" customHeight="1">
      <c r="A4432" s="4" t="s">
        <v>11068</v>
      </c>
      <c r="B4432" s="5" t="s">
        <v>11069</v>
      </c>
      <c r="C4432" s="5" t="s">
        <v>40</v>
      </c>
      <c r="D4432" s="5" t="s">
        <v>41</v>
      </c>
      <c r="E4432" s="5" t="s">
        <v>293</v>
      </c>
      <c r="F4432" s="9">
        <v>45</v>
      </c>
      <c r="G4432" s="9">
        <v>472</v>
      </c>
      <c r="H4432" s="5" t="s">
        <v>21</v>
      </c>
      <c r="I4432" s="5" t="s">
        <v>11070</v>
      </c>
      <c r="J4432" s="12" t="str">
        <f>HYPERLINK("https://www.boe.es/gazeta/dias/1803/06/07/pdfs/GMD-1803-45.pdf#page=8","Abrir facsímil")</f>
        <v>Abrir facsímil</v>
      </c>
      <c r="K4432" s="15" t="s">
        <v>23</v>
      </c>
    </row>
    <row r="4433" spans="1:11" ht="42" customHeight="1">
      <c r="A4433" s="4" t="s">
        <v>11071</v>
      </c>
      <c r="B4433" s="5" t="s">
        <v>11072</v>
      </c>
      <c r="C4433" s="5" t="s">
        <v>26</v>
      </c>
      <c r="D4433" s="5" t="s">
        <v>27</v>
      </c>
      <c r="E4433" s="5" t="s">
        <v>138</v>
      </c>
      <c r="F4433" s="9">
        <v>68</v>
      </c>
      <c r="G4433" s="9">
        <v>738</v>
      </c>
      <c r="H4433" s="5" t="s">
        <v>21</v>
      </c>
      <c r="I4433" s="5" t="s">
        <v>11073</v>
      </c>
      <c r="J4433" s="12" t="str">
        <f>HYPERLINK("https://www.boe.es/gazeta/dias/1803/08/26/pdfs/GMD-1803-68.pdf#page=6","Abrir facsímil")</f>
        <v>Abrir facsímil</v>
      </c>
      <c r="K4433" s="15" t="s">
        <v>23</v>
      </c>
    </row>
    <row r="4434" spans="1:11" ht="42" customHeight="1">
      <c r="A4434" s="4" t="s">
        <v>11074</v>
      </c>
      <c r="B4434" s="5" t="s">
        <v>11074</v>
      </c>
      <c r="C4434" s="5" t="s">
        <v>40</v>
      </c>
      <c r="D4434" s="5" t="s">
        <v>41</v>
      </c>
      <c r="E4434" s="5" t="s">
        <v>53</v>
      </c>
      <c r="F4434" s="9">
        <v>99</v>
      </c>
      <c r="G4434" s="9">
        <v>1056</v>
      </c>
      <c r="H4434" s="5" t="s">
        <v>21</v>
      </c>
      <c r="I4434" s="5" t="s">
        <v>11075</v>
      </c>
      <c r="J4434" s="12" t="str">
        <f>HYPERLINK("https://www.boe.es/gazeta/dias/1803/12/09/pdfs/GMD-1803-99.pdf#page=4","Abrir facsímil")</f>
        <v>Abrir facsímil</v>
      </c>
      <c r="K4434" s="15" t="s">
        <v>23</v>
      </c>
    </row>
    <row r="4435" spans="1:11" ht="42" customHeight="1">
      <c r="A4435" s="4" t="s">
        <v>11076</v>
      </c>
      <c r="B4435" s="5" t="s">
        <v>11077</v>
      </c>
      <c r="C4435" s="5" t="s">
        <v>26</v>
      </c>
      <c r="D4435" s="5" t="s">
        <v>27</v>
      </c>
      <c r="E4435" s="5" t="s">
        <v>83</v>
      </c>
      <c r="F4435" s="9">
        <v>28</v>
      </c>
      <c r="G4435" s="9">
        <v>303</v>
      </c>
      <c r="H4435" s="5" t="s">
        <v>21</v>
      </c>
      <c r="I4435" s="5" t="s">
        <v>11078</v>
      </c>
      <c r="J4435" s="12" t="str">
        <f>HYPERLINK("https://www.boe.es/gazeta/dias/1803/04/08/pdfs/GMD-1803-28.pdf#page=7","Abrir facsímil")</f>
        <v>Abrir facsímil</v>
      </c>
      <c r="K4435" s="15" t="s">
        <v>23</v>
      </c>
    </row>
    <row r="4436" spans="1:11" ht="42" customHeight="1">
      <c r="A4436" s="4" t="s">
        <v>11079</v>
      </c>
      <c r="B4436" s="5" t="s">
        <v>11079</v>
      </c>
      <c r="C4436" s="5" t="s">
        <v>40</v>
      </c>
      <c r="D4436" s="5" t="s">
        <v>41</v>
      </c>
      <c r="E4436" s="5" t="s">
        <v>417</v>
      </c>
      <c r="F4436" s="9">
        <v>72</v>
      </c>
      <c r="G4436" s="9">
        <v>783</v>
      </c>
      <c r="H4436" s="5" t="s">
        <v>21</v>
      </c>
      <c r="I4436" s="5" t="s">
        <v>11080</v>
      </c>
      <c r="J4436" s="12" t="str">
        <f>HYPERLINK("https://www.boe.es/gazeta/dias/1803/09/09/pdfs/GMD-1803-72.pdf#page=3","Abrir facsímil")</f>
        <v>Abrir facsímil</v>
      </c>
      <c r="K4436" s="15" t="s">
        <v>23</v>
      </c>
    </row>
    <row r="4437" spans="1:11" ht="42" customHeight="1">
      <c r="A4437" s="4" t="s">
        <v>11079</v>
      </c>
      <c r="B4437" s="5" t="s">
        <v>11079</v>
      </c>
      <c r="C4437" s="5" t="s">
        <v>40</v>
      </c>
      <c r="D4437" s="5" t="s">
        <v>41</v>
      </c>
      <c r="E4437" s="5" t="s">
        <v>439</v>
      </c>
      <c r="F4437" s="9">
        <v>76</v>
      </c>
      <c r="G4437" s="9">
        <v>818</v>
      </c>
      <c r="H4437" s="5" t="s">
        <v>21</v>
      </c>
      <c r="I4437" s="5" t="s">
        <v>11081</v>
      </c>
      <c r="J4437" s="12" t="str">
        <f>HYPERLINK("https://www.boe.es/gazeta/dias/1803/09/20/pdfs/GMD-1803-76.pdf#page=6","Abrir facsímil")</f>
        <v>Abrir facsímil</v>
      </c>
      <c r="K4437" s="15" t="s">
        <v>23</v>
      </c>
    </row>
    <row r="4438" spans="1:11" ht="42" customHeight="1">
      <c r="A4438" s="4" t="s">
        <v>11082</v>
      </c>
      <c r="B4438" s="5" t="s">
        <v>11082</v>
      </c>
      <c r="C4438" s="5" t="s">
        <v>26</v>
      </c>
      <c r="D4438" s="5" t="s">
        <v>27</v>
      </c>
      <c r="E4438" s="5" t="s">
        <v>403</v>
      </c>
      <c r="F4438" s="9">
        <v>91</v>
      </c>
      <c r="G4438" s="9">
        <v>973</v>
      </c>
      <c r="H4438" s="5" t="s">
        <v>21</v>
      </c>
      <c r="I4438" s="5" t="s">
        <v>11083</v>
      </c>
      <c r="J4438" s="12" t="str">
        <f>HYPERLINK("https://www.boe.es/gazeta/dias/1803/11/11/pdfs/GMD-1803-91.pdf#page=5","Abrir facsímil")</f>
        <v>Abrir facsímil</v>
      </c>
      <c r="K4438" s="15" t="s">
        <v>23</v>
      </c>
    </row>
    <row r="4439" spans="1:11" ht="42" customHeight="1">
      <c r="A4439" s="4" t="s">
        <v>11084</v>
      </c>
      <c r="B4439" s="5" t="s">
        <v>11085</v>
      </c>
      <c r="C4439" s="5" t="s">
        <v>26</v>
      </c>
      <c r="D4439" s="5" t="s">
        <v>27</v>
      </c>
      <c r="E4439" s="5" t="s">
        <v>501</v>
      </c>
      <c r="F4439" s="9">
        <v>22</v>
      </c>
      <c r="G4439" s="9">
        <v>237</v>
      </c>
      <c r="H4439" s="5" t="s">
        <v>21</v>
      </c>
      <c r="I4439" s="5" t="s">
        <v>11086</v>
      </c>
      <c r="J4439" s="12" t="str">
        <f>HYPERLINK("https://www.boe.es/gazeta/dias/1803/03/18/pdfs/GMD-1803-22.pdf#page=9","Abrir facsímil")</f>
        <v>Abrir facsímil</v>
      </c>
      <c r="K4439" s="15" t="s">
        <v>23</v>
      </c>
    </row>
    <row r="4440" spans="1:11" ht="42" customHeight="1">
      <c r="A4440" s="4" t="s">
        <v>11087</v>
      </c>
      <c r="B4440" s="5" t="s">
        <v>11087</v>
      </c>
      <c r="C4440" s="5" t="s">
        <v>46</v>
      </c>
      <c r="D4440" s="5" t="s">
        <v>19</v>
      </c>
      <c r="E4440" s="5" t="s">
        <v>332</v>
      </c>
      <c r="F4440" s="9">
        <v>11</v>
      </c>
      <c r="G4440" s="9">
        <v>108</v>
      </c>
      <c r="H4440" s="5" t="s">
        <v>21</v>
      </c>
      <c r="I4440" s="5" t="s">
        <v>11088</v>
      </c>
      <c r="J4440" s="12" t="str">
        <f>HYPERLINK("https://www.boe.es/gazeta/dias/1803/02/08/pdfs/GMD-1803-11.pdf#page=4","Abrir facsímil")</f>
        <v>Abrir facsímil</v>
      </c>
      <c r="K4440" s="15" t="s">
        <v>23</v>
      </c>
    </row>
    <row r="4441" spans="1:11" ht="42" customHeight="1">
      <c r="A4441" s="4" t="s">
        <v>11087</v>
      </c>
      <c r="B4441" s="5" t="s">
        <v>11087</v>
      </c>
      <c r="C4441" s="5" t="s">
        <v>40</v>
      </c>
      <c r="D4441" s="5" t="s">
        <v>41</v>
      </c>
      <c r="E4441" s="5" t="s">
        <v>99</v>
      </c>
      <c r="F4441" s="9">
        <v>29</v>
      </c>
      <c r="G4441" s="9">
        <v>306</v>
      </c>
      <c r="H4441" s="5" t="s">
        <v>21</v>
      </c>
      <c r="I4441" s="5" t="s">
        <v>11089</v>
      </c>
      <c r="J4441" s="12" t="str">
        <f>HYPERLINK("https://www.boe.es/gazeta/dias/1803/04/12/pdfs/GMD-1803-29.pdf#page=2","Abrir facsímil")</f>
        <v>Abrir facsímil</v>
      </c>
      <c r="K4441" s="15" t="s">
        <v>23</v>
      </c>
    </row>
    <row r="4442" spans="1:11" ht="42" customHeight="1">
      <c r="A4442" s="4" t="s">
        <v>11087</v>
      </c>
      <c r="B4442" s="5" t="s">
        <v>11087</v>
      </c>
      <c r="C4442" s="5" t="s">
        <v>26</v>
      </c>
      <c r="D4442" s="5" t="s">
        <v>27</v>
      </c>
      <c r="E4442" s="5" t="s">
        <v>328</v>
      </c>
      <c r="F4442" s="9">
        <v>54</v>
      </c>
      <c r="G4442" s="9">
        <v>587</v>
      </c>
      <c r="H4442" s="5" t="s">
        <v>21</v>
      </c>
      <c r="I4442" s="5" t="s">
        <v>11090</v>
      </c>
      <c r="J4442" s="12" t="str">
        <f>HYPERLINK("https://www.boe.es/gazeta/dias/1803/07/08/pdfs/GMD-1803-54.pdf#page=7","Abrir facsímil")</f>
        <v>Abrir facsímil</v>
      </c>
      <c r="K4442" s="15" t="s">
        <v>23</v>
      </c>
    </row>
    <row r="4443" spans="1:11" ht="42" customHeight="1">
      <c r="A4443" s="4" t="s">
        <v>11087</v>
      </c>
      <c r="B4443" s="5" t="s">
        <v>11087</v>
      </c>
      <c r="C4443" s="5" t="s">
        <v>51</v>
      </c>
      <c r="D4443" s="5" t="s">
        <v>52</v>
      </c>
      <c r="E4443" s="5" t="s">
        <v>340</v>
      </c>
      <c r="F4443" s="9">
        <v>55</v>
      </c>
      <c r="G4443" s="9">
        <v>600</v>
      </c>
      <c r="H4443" s="5" t="s">
        <v>21</v>
      </c>
      <c r="I4443" s="5" t="s">
        <v>11091</v>
      </c>
      <c r="J4443" s="12" t="str">
        <f>HYPERLINK("https://www.boe.es/gazeta/dias/1803/07/12/pdfs/GMD-1803-55.pdf#page=8","Abrir facsímil")</f>
        <v>Abrir facsímil</v>
      </c>
      <c r="K4443" s="15" t="s">
        <v>23</v>
      </c>
    </row>
    <row r="4444" spans="1:11" ht="42" customHeight="1">
      <c r="A4444" s="4" t="s">
        <v>11087</v>
      </c>
      <c r="B4444" s="5" t="s">
        <v>11087</v>
      </c>
      <c r="C4444" s="5" t="s">
        <v>40</v>
      </c>
      <c r="D4444" s="5" t="s">
        <v>41</v>
      </c>
      <c r="E4444" s="5" t="s">
        <v>132</v>
      </c>
      <c r="F4444" s="9">
        <v>58</v>
      </c>
      <c r="G4444" s="9">
        <v>634</v>
      </c>
      <c r="H4444" s="5" t="s">
        <v>21</v>
      </c>
      <c r="I4444" s="5" t="s">
        <v>11092</v>
      </c>
      <c r="J4444" s="12" t="str">
        <f>HYPERLINK("https://www.boe.es/gazeta/dias/1803/07/22/pdfs/GMD-1803-58.pdf#page=6","Abrir facsímil")</f>
        <v>Abrir facsímil</v>
      </c>
      <c r="K4444" s="15" t="s">
        <v>23</v>
      </c>
    </row>
    <row r="4445" spans="1:11" ht="42" customHeight="1">
      <c r="A4445" s="4" t="s">
        <v>11087</v>
      </c>
      <c r="B4445" s="5" t="s">
        <v>11087</v>
      </c>
      <c r="C4445" s="5" t="s">
        <v>40</v>
      </c>
      <c r="D4445" s="5" t="s">
        <v>41</v>
      </c>
      <c r="E4445" s="5" t="s">
        <v>132</v>
      </c>
      <c r="F4445" s="9">
        <v>58</v>
      </c>
      <c r="G4445" s="9">
        <v>635</v>
      </c>
      <c r="H4445" s="5" t="s">
        <v>21</v>
      </c>
      <c r="I4445" s="5" t="s">
        <v>11093</v>
      </c>
      <c r="J4445" s="12" t="str">
        <f>HYPERLINK("https://www.boe.es/gazeta/dias/1803/07/22/pdfs/GMD-1803-58.pdf#page=7","Abrir facsímil")</f>
        <v>Abrir facsímil</v>
      </c>
      <c r="K4445" s="15" t="s">
        <v>23</v>
      </c>
    </row>
    <row r="4446" spans="1:11" ht="42" customHeight="1">
      <c r="A4446" s="4" t="s">
        <v>11087</v>
      </c>
      <c r="B4446" s="5" t="s">
        <v>11087</v>
      </c>
      <c r="C4446" s="5" t="s">
        <v>80</v>
      </c>
      <c r="D4446" s="5" t="s">
        <v>81</v>
      </c>
      <c r="E4446" s="5" t="s">
        <v>588</v>
      </c>
      <c r="F4446" s="9">
        <v>63</v>
      </c>
      <c r="G4446" s="9">
        <v>683</v>
      </c>
      <c r="H4446" s="5" t="s">
        <v>21</v>
      </c>
      <c r="I4446" s="5" t="s">
        <v>11094</v>
      </c>
      <c r="J4446" s="12" t="str">
        <f>HYPERLINK("https://www.boe.es/gazeta/dias/1803/08/09/pdfs/GMD-1803-63.pdf#page=3","Abrir facsímil")</f>
        <v>Abrir facsímil</v>
      </c>
      <c r="K4446" s="15" t="s">
        <v>23</v>
      </c>
    </row>
    <row r="4447" spans="1:11" ht="42" customHeight="1">
      <c r="A4447" s="4" t="s">
        <v>11087</v>
      </c>
      <c r="B4447" s="5" t="s">
        <v>11087</v>
      </c>
      <c r="C4447" s="5" t="s">
        <v>40</v>
      </c>
      <c r="D4447" s="5" t="s">
        <v>41</v>
      </c>
      <c r="E4447" s="5" t="s">
        <v>910</v>
      </c>
      <c r="F4447" s="9">
        <v>66</v>
      </c>
      <c r="G4447" s="9">
        <v>716</v>
      </c>
      <c r="H4447" s="5" t="s">
        <v>21</v>
      </c>
      <c r="I4447" s="5" t="s">
        <v>11095</v>
      </c>
      <c r="J4447" s="12" t="str">
        <f>HYPERLINK("https://www.boe.es/gazeta/dias/1803/08/19/pdfs/GMD-1803-66.pdf#page=4","Abrir facsímil")</f>
        <v>Abrir facsímil</v>
      </c>
      <c r="K4447" s="15" t="s">
        <v>23</v>
      </c>
    </row>
    <row r="4448" spans="1:11" ht="42" customHeight="1">
      <c r="A4448" s="4" t="s">
        <v>11087</v>
      </c>
      <c r="B4448" s="5" t="s">
        <v>11087</v>
      </c>
      <c r="C4448" s="5" t="s">
        <v>51</v>
      </c>
      <c r="D4448" s="5" t="s">
        <v>52</v>
      </c>
      <c r="E4448" s="5" t="s">
        <v>910</v>
      </c>
      <c r="F4448" s="9">
        <v>66</v>
      </c>
      <c r="G4448" s="9">
        <v>718</v>
      </c>
      <c r="H4448" s="5" t="s">
        <v>21</v>
      </c>
      <c r="I4448" s="5" t="s">
        <v>11096</v>
      </c>
      <c r="J4448" s="12" t="str">
        <f>HYPERLINK("https://www.boe.es/gazeta/dias/1803/08/19/pdfs/GMD-1803-66.pdf#page=6","Abrir facsímil")</f>
        <v>Abrir facsímil</v>
      </c>
      <c r="K4448" s="15" t="s">
        <v>23</v>
      </c>
    </row>
    <row r="4449" spans="1:11" ht="42" customHeight="1">
      <c r="A4449" s="4" t="s">
        <v>11087</v>
      </c>
      <c r="B4449" s="5" t="s">
        <v>11087</v>
      </c>
      <c r="C4449" s="5" t="s">
        <v>26</v>
      </c>
      <c r="D4449" s="5" t="s">
        <v>27</v>
      </c>
      <c r="E4449" s="5" t="s">
        <v>61</v>
      </c>
      <c r="F4449" s="9">
        <v>67</v>
      </c>
      <c r="G4449" s="9">
        <v>724</v>
      </c>
      <c r="H4449" s="5" t="s">
        <v>21</v>
      </c>
      <c r="I4449" s="5" t="s">
        <v>11097</v>
      </c>
      <c r="J4449" s="12" t="str">
        <f>HYPERLINK("https://www.boe.es/gazeta/dias/1803/08/23/pdfs/GMD-1803-67.pdf#page=4","Abrir facsímil")</f>
        <v>Abrir facsímil</v>
      </c>
      <c r="K4449" s="15" t="s">
        <v>23</v>
      </c>
    </row>
    <row r="4450" spans="1:11" ht="42" customHeight="1">
      <c r="A4450" s="4" t="s">
        <v>11087</v>
      </c>
      <c r="B4450" s="5" t="s">
        <v>11087</v>
      </c>
      <c r="C4450" s="5" t="s">
        <v>40</v>
      </c>
      <c r="D4450" s="5" t="s">
        <v>41</v>
      </c>
      <c r="E4450" s="5" t="s">
        <v>417</v>
      </c>
      <c r="F4450" s="9">
        <v>72</v>
      </c>
      <c r="G4450" s="9">
        <v>783</v>
      </c>
      <c r="H4450" s="5" t="s">
        <v>21</v>
      </c>
      <c r="I4450" s="5" t="s">
        <v>11098</v>
      </c>
      <c r="J4450" s="12" t="str">
        <f>HYPERLINK("https://www.boe.es/gazeta/dias/1803/09/09/pdfs/GMD-1803-72.pdf#page=3","Abrir facsímil")</f>
        <v>Abrir facsímil</v>
      </c>
      <c r="K4450" s="15" t="s">
        <v>23</v>
      </c>
    </row>
    <row r="4451" spans="1:11" ht="42" customHeight="1">
      <c r="A4451" s="4" t="s">
        <v>11087</v>
      </c>
      <c r="B4451" s="5" t="s">
        <v>11087</v>
      </c>
      <c r="C4451" s="5" t="s">
        <v>40</v>
      </c>
      <c r="D4451" s="5" t="s">
        <v>41</v>
      </c>
      <c r="E4451" s="5" t="s">
        <v>417</v>
      </c>
      <c r="F4451" s="9">
        <v>72</v>
      </c>
      <c r="G4451" s="9">
        <v>784</v>
      </c>
      <c r="H4451" s="5" t="s">
        <v>21</v>
      </c>
      <c r="I4451" s="5" t="s">
        <v>11099</v>
      </c>
      <c r="J4451" s="12" t="str">
        <f>HYPERLINK("https://www.boe.es/gazeta/dias/1803/09/09/pdfs/GMD-1803-72.pdf#page=4","Abrir facsímil")</f>
        <v>Abrir facsímil</v>
      </c>
      <c r="K4451" s="15" t="s">
        <v>23</v>
      </c>
    </row>
    <row r="4452" spans="1:11" ht="42" customHeight="1">
      <c r="A4452" s="4" t="s">
        <v>11087</v>
      </c>
      <c r="B4452" s="5" t="s">
        <v>11087</v>
      </c>
      <c r="C4452" s="5" t="s">
        <v>40</v>
      </c>
      <c r="D4452" s="5" t="s">
        <v>41</v>
      </c>
      <c r="E4452" s="5" t="s">
        <v>439</v>
      </c>
      <c r="F4452" s="9">
        <v>76</v>
      </c>
      <c r="G4452" s="9">
        <v>816</v>
      </c>
      <c r="H4452" s="5" t="s">
        <v>21</v>
      </c>
      <c r="I4452" s="5" t="s">
        <v>11100</v>
      </c>
      <c r="J4452" s="12" t="str">
        <f>HYPERLINK("https://www.boe.es/gazeta/dias/1803/09/20/pdfs/GMD-1803-76.pdf#page=4","Abrir facsímil")</f>
        <v>Abrir facsímil</v>
      </c>
      <c r="K4452" s="15" t="s">
        <v>23</v>
      </c>
    </row>
    <row r="4453" spans="1:11" ht="42" customHeight="1">
      <c r="A4453" s="4" t="s">
        <v>11087</v>
      </c>
      <c r="B4453" s="5" t="s">
        <v>11087</v>
      </c>
      <c r="C4453" s="5" t="s">
        <v>40</v>
      </c>
      <c r="D4453" s="5" t="s">
        <v>41</v>
      </c>
      <c r="E4453" s="5" t="s">
        <v>439</v>
      </c>
      <c r="F4453" s="9">
        <v>76</v>
      </c>
      <c r="G4453" s="9">
        <v>817</v>
      </c>
      <c r="H4453" s="5" t="s">
        <v>21</v>
      </c>
      <c r="I4453" s="5" t="s">
        <v>11101</v>
      </c>
      <c r="J4453" s="12" t="str">
        <f>HYPERLINK("https://www.boe.es/gazeta/dias/1803/09/20/pdfs/GMD-1803-76.pdf#page=5","Abrir facsímil")</f>
        <v>Abrir facsímil</v>
      </c>
      <c r="K4453" s="15" t="s">
        <v>23</v>
      </c>
    </row>
    <row r="4454" spans="1:11" ht="42" customHeight="1">
      <c r="A4454" s="4" t="s">
        <v>11087</v>
      </c>
      <c r="B4454" s="5" t="s">
        <v>11087</v>
      </c>
      <c r="C4454" s="5" t="s">
        <v>40</v>
      </c>
      <c r="D4454" s="5" t="s">
        <v>41</v>
      </c>
      <c r="E4454" s="5" t="s">
        <v>439</v>
      </c>
      <c r="F4454" s="9">
        <v>76</v>
      </c>
      <c r="G4454" s="9">
        <v>818</v>
      </c>
      <c r="H4454" s="5" t="s">
        <v>21</v>
      </c>
      <c r="I4454" s="5" t="s">
        <v>11102</v>
      </c>
      <c r="J4454" s="12" t="str">
        <f>HYPERLINK("https://www.boe.es/gazeta/dias/1803/09/20/pdfs/GMD-1803-76.pdf#page=6","Abrir facsímil")</f>
        <v>Abrir facsímil</v>
      </c>
      <c r="K4454" s="15" t="s">
        <v>23</v>
      </c>
    </row>
    <row r="4455" spans="1:11" ht="42" customHeight="1">
      <c r="A4455" s="4" t="s">
        <v>11087</v>
      </c>
      <c r="B4455" s="5" t="s">
        <v>11087</v>
      </c>
      <c r="C4455" s="5" t="s">
        <v>40</v>
      </c>
      <c r="D4455" s="5" t="s">
        <v>41</v>
      </c>
      <c r="E4455" s="5" t="s">
        <v>373</v>
      </c>
      <c r="F4455" s="9">
        <v>77</v>
      </c>
      <c r="G4455" s="9">
        <v>829</v>
      </c>
      <c r="H4455" s="5" t="s">
        <v>21</v>
      </c>
      <c r="I4455" s="5" t="s">
        <v>11103</v>
      </c>
      <c r="J4455" s="12" t="str">
        <f>HYPERLINK("https://www.boe.es/gazeta/dias/1803/09/23/pdfs/GMD-1803-77.pdf#page=5","Abrir facsímil")</f>
        <v>Abrir facsímil</v>
      </c>
      <c r="K4455" s="15" t="s">
        <v>23</v>
      </c>
    </row>
    <row r="4456" spans="1:11" ht="42" customHeight="1">
      <c r="A4456" s="4" t="s">
        <v>11104</v>
      </c>
      <c r="B4456" s="5" t="s">
        <v>11104</v>
      </c>
      <c r="C4456" s="5" t="s">
        <v>40</v>
      </c>
      <c r="D4456" s="5" t="s">
        <v>41</v>
      </c>
      <c r="E4456" s="5" t="s">
        <v>285</v>
      </c>
      <c r="F4456" s="9">
        <v>5</v>
      </c>
      <c r="G4456" s="9">
        <v>41</v>
      </c>
      <c r="H4456" s="5" t="s">
        <v>21</v>
      </c>
      <c r="I4456" s="5" t="s">
        <v>11105</v>
      </c>
      <c r="J4456" s="12" t="str">
        <f>HYPERLINK("https://www.boe.es/gazeta/dias/1803/01/18/pdfs/GMD-1803-5.pdf#page=5","Abrir facsímil")</f>
        <v>Abrir facsímil</v>
      </c>
      <c r="K4456" s="15" t="s">
        <v>23</v>
      </c>
    </row>
    <row r="4457" spans="1:11" ht="42" customHeight="1">
      <c r="A4457" s="4" t="s">
        <v>11106</v>
      </c>
      <c r="B4457" s="5" t="s">
        <v>11107</v>
      </c>
      <c r="C4457" s="5" t="s">
        <v>26</v>
      </c>
      <c r="D4457" s="5" t="s">
        <v>27</v>
      </c>
      <c r="E4457" s="5" t="s">
        <v>132</v>
      </c>
      <c r="F4457" s="9">
        <v>58</v>
      </c>
      <c r="G4457" s="9">
        <v>638</v>
      </c>
      <c r="H4457" s="5" t="s">
        <v>21</v>
      </c>
      <c r="I4457" s="5" t="s">
        <v>11108</v>
      </c>
      <c r="J4457" s="12" t="str">
        <f>HYPERLINK("https://www.boe.es/gazeta/dias/1803/07/22/pdfs/GMD-1803-58.pdf#page=10","Abrir facsímil")</f>
        <v>Abrir facsímil</v>
      </c>
      <c r="K4457" s="15" t="s">
        <v>23</v>
      </c>
    </row>
    <row r="4458" spans="1:11" ht="42" customHeight="1">
      <c r="A4458" s="4" t="s">
        <v>11109</v>
      </c>
      <c r="B4458" s="5" t="s">
        <v>11109</v>
      </c>
      <c r="C4458" s="5" t="s">
        <v>40</v>
      </c>
      <c r="D4458" s="5" t="s">
        <v>41</v>
      </c>
      <c r="E4458" s="5" t="s">
        <v>619</v>
      </c>
      <c r="F4458" s="9">
        <v>53</v>
      </c>
      <c r="G4458" s="9">
        <v>572</v>
      </c>
      <c r="H4458" s="5" t="s">
        <v>21</v>
      </c>
      <c r="I4458" s="5" t="s">
        <v>11110</v>
      </c>
      <c r="J4458" s="12" t="str">
        <f>HYPERLINK("https://www.boe.es/gazeta/dias/1803/07/05/pdfs/GMD-1803-53.pdf#page=4","Abrir facsímil")</f>
        <v>Abrir facsímil</v>
      </c>
      <c r="K4458" s="15" t="s">
        <v>23</v>
      </c>
    </row>
    <row r="4459" spans="1:11" ht="42" customHeight="1">
      <c r="A4459" s="4" t="s">
        <v>11111</v>
      </c>
      <c r="B4459" s="5" t="s">
        <v>11111</v>
      </c>
      <c r="C4459" s="5" t="s">
        <v>46</v>
      </c>
      <c r="D4459" s="5" t="s">
        <v>19</v>
      </c>
      <c r="E4459" s="5" t="s">
        <v>630</v>
      </c>
      <c r="F4459" s="9">
        <v>85</v>
      </c>
      <c r="G4459" s="9">
        <v>910</v>
      </c>
      <c r="H4459" s="5" t="s">
        <v>21</v>
      </c>
      <c r="I4459" s="5" t="s">
        <v>11112</v>
      </c>
      <c r="J4459" s="12" t="str">
        <f>HYPERLINK("https://www.boe.es/gazeta/dias/1803/10/21/pdfs/GMD-1803-85.pdf#page=2","Abrir facsímil")</f>
        <v>Abrir facsímil</v>
      </c>
      <c r="K4459" s="15" t="s">
        <v>23</v>
      </c>
    </row>
    <row r="4460" spans="1:11" ht="42" customHeight="1">
      <c r="A4460" s="4" t="s">
        <v>11113</v>
      </c>
      <c r="B4460" s="5" t="s">
        <v>11114</v>
      </c>
      <c r="C4460" s="5" t="s">
        <v>40</v>
      </c>
      <c r="D4460" s="5" t="s">
        <v>41</v>
      </c>
      <c r="E4460" s="5" t="s">
        <v>321</v>
      </c>
      <c r="F4460" s="9">
        <v>94</v>
      </c>
      <c r="G4460" s="9">
        <v>1005</v>
      </c>
      <c r="H4460" s="5" t="s">
        <v>21</v>
      </c>
      <c r="I4460" s="5" t="s">
        <v>11115</v>
      </c>
      <c r="J4460" s="12" t="str">
        <f>HYPERLINK("https://www.boe.es/gazeta/dias/1803/11/22/pdfs/GMD-1803-94.pdf#page=5","Abrir facsímil")</f>
        <v>Abrir facsímil</v>
      </c>
      <c r="K4460" s="15" t="s">
        <v>23</v>
      </c>
    </row>
    <row r="4461" spans="1:11" ht="42" customHeight="1">
      <c r="A4461" s="4" t="s">
        <v>11116</v>
      </c>
      <c r="B4461" s="5" t="s">
        <v>11117</v>
      </c>
      <c r="C4461" s="5" t="s">
        <v>40</v>
      </c>
      <c r="D4461" s="5" t="s">
        <v>41</v>
      </c>
      <c r="E4461" s="5" t="s">
        <v>117</v>
      </c>
      <c r="F4461" s="9">
        <v>59</v>
      </c>
      <c r="G4461" s="9">
        <v>643</v>
      </c>
      <c r="H4461" s="5" t="s">
        <v>21</v>
      </c>
      <c r="I4461" s="5" t="s">
        <v>11118</v>
      </c>
      <c r="J4461" s="12" t="str">
        <f>HYPERLINK("https://www.boe.es/gazeta/dias/1803/07/26/pdfs/GMD-1803-59.pdf#page=3","Abrir facsímil")</f>
        <v>Abrir facsímil</v>
      </c>
      <c r="K4461" s="15" t="s">
        <v>23</v>
      </c>
    </row>
    <row r="4462" spans="1:11" ht="42" customHeight="1">
      <c r="A4462" s="4" t="s">
        <v>11119</v>
      </c>
      <c r="B4462" s="5" t="s">
        <v>11119</v>
      </c>
      <c r="C4462" s="5" t="s">
        <v>40</v>
      </c>
      <c r="D4462" s="5" t="s">
        <v>41</v>
      </c>
      <c r="E4462" s="5" t="s">
        <v>619</v>
      </c>
      <c r="F4462" s="9">
        <v>53</v>
      </c>
      <c r="G4462" s="9">
        <v>572</v>
      </c>
      <c r="H4462" s="5" t="s">
        <v>21</v>
      </c>
      <c r="I4462" s="5" t="s">
        <v>11120</v>
      </c>
      <c r="J4462" s="12" t="str">
        <f>HYPERLINK("https://www.boe.es/gazeta/dias/1803/07/05/pdfs/GMD-1803-53.pdf#page=4","Abrir facsímil")</f>
        <v>Abrir facsímil</v>
      </c>
      <c r="K4462" s="15" t="s">
        <v>23</v>
      </c>
    </row>
    <row r="4463" spans="1:11" ht="42" customHeight="1">
      <c r="A4463" s="4" t="s">
        <v>11121</v>
      </c>
      <c r="B4463" s="5" t="s">
        <v>11122</v>
      </c>
      <c r="C4463" s="5" t="s">
        <v>46</v>
      </c>
      <c r="D4463" s="5" t="s">
        <v>19</v>
      </c>
      <c r="E4463" s="5" t="s">
        <v>910</v>
      </c>
      <c r="F4463" s="9">
        <v>66</v>
      </c>
      <c r="G4463" s="9">
        <v>719</v>
      </c>
      <c r="H4463" s="5" t="s">
        <v>21</v>
      </c>
      <c r="I4463" s="5" t="s">
        <v>11123</v>
      </c>
      <c r="J4463" s="12" t="str">
        <f>HYPERLINK("https://www.boe.es/gazeta/dias/1803/08/19/pdfs/GMD-1803-66.pdf#page=7","Abrir facsímil")</f>
        <v>Abrir facsímil</v>
      </c>
      <c r="K4463" s="15" t="s">
        <v>23</v>
      </c>
    </row>
    <row r="4464" spans="1:11" ht="42" customHeight="1">
      <c r="A4464" s="4" t="s">
        <v>11124</v>
      </c>
      <c r="B4464" s="5" t="s">
        <v>11125</v>
      </c>
      <c r="C4464" s="5" t="s">
        <v>40</v>
      </c>
      <c r="D4464" s="5" t="s">
        <v>41</v>
      </c>
      <c r="E4464" s="5" t="s">
        <v>132</v>
      </c>
      <c r="F4464" s="9">
        <v>58</v>
      </c>
      <c r="G4464" s="9">
        <v>639</v>
      </c>
      <c r="H4464" s="5" t="s">
        <v>21</v>
      </c>
      <c r="I4464" s="5" t="s">
        <v>11126</v>
      </c>
      <c r="J4464" s="12" t="str">
        <f>HYPERLINK("https://www.boe.es/gazeta/dias/1803/07/22/pdfs/GMD-1803-58.pdf#page=11","Abrir facsímil")</f>
        <v>Abrir facsímil</v>
      </c>
      <c r="K4464" s="15" t="s">
        <v>23</v>
      </c>
    </row>
    <row r="4465" spans="1:11" ht="42" customHeight="1">
      <c r="A4465" s="4" t="s">
        <v>11127</v>
      </c>
      <c r="B4465" s="5" t="s">
        <v>11127</v>
      </c>
      <c r="C4465" s="5" t="s">
        <v>40</v>
      </c>
      <c r="D4465" s="5" t="s">
        <v>41</v>
      </c>
      <c r="E4465" s="5" t="s">
        <v>919</v>
      </c>
      <c r="F4465" s="9">
        <v>69</v>
      </c>
      <c r="G4465" s="9">
        <v>745</v>
      </c>
      <c r="H4465" s="5" t="s">
        <v>21</v>
      </c>
      <c r="I4465" s="5" t="s">
        <v>11128</v>
      </c>
      <c r="J4465" s="12" t="str">
        <f>HYPERLINK("https://www.boe.es/gazeta/dias/1803/08/30/pdfs/GMD-1803-69.pdf#page=1","Abrir facsímil")</f>
        <v>Abrir facsímil</v>
      </c>
      <c r="K4465" s="15" t="s">
        <v>23</v>
      </c>
    </row>
    <row r="4466" spans="1:11" ht="42" customHeight="1">
      <c r="A4466" s="4" t="s">
        <v>11129</v>
      </c>
      <c r="B4466" s="5" t="s">
        <v>11129</v>
      </c>
      <c r="C4466" s="5" t="s">
        <v>40</v>
      </c>
      <c r="D4466" s="5" t="s">
        <v>41</v>
      </c>
      <c r="E4466" s="5" t="s">
        <v>160</v>
      </c>
      <c r="F4466" s="9">
        <v>81</v>
      </c>
      <c r="G4466" s="9">
        <v>865</v>
      </c>
      <c r="H4466" s="5" t="s">
        <v>21</v>
      </c>
      <c r="I4466" s="5" t="s">
        <v>11130</v>
      </c>
      <c r="J4466" s="12" t="str">
        <f>HYPERLINK("https://www.boe.es/gazeta/dias/1803/10/07/pdfs/GMD-1803-81.pdf#page=1","Abrir facsímil")</f>
        <v>Abrir facsímil</v>
      </c>
      <c r="K4466" s="15" t="s">
        <v>23</v>
      </c>
    </row>
    <row r="4467" spans="1:11" ht="42" customHeight="1">
      <c r="A4467" s="4" t="s">
        <v>11131</v>
      </c>
      <c r="B4467" s="5" t="s">
        <v>11131</v>
      </c>
      <c r="C4467" s="5" t="s">
        <v>26</v>
      </c>
      <c r="D4467" s="5" t="s">
        <v>27</v>
      </c>
      <c r="E4467" s="5" t="s">
        <v>619</v>
      </c>
      <c r="F4467" s="9">
        <v>53</v>
      </c>
      <c r="G4467" s="9">
        <v>575</v>
      </c>
      <c r="H4467" s="5" t="s">
        <v>21</v>
      </c>
      <c r="I4467" s="5" t="s">
        <v>11132</v>
      </c>
      <c r="J4467" s="12" t="str">
        <f>HYPERLINK("https://www.boe.es/gazeta/dias/1803/07/05/pdfs/GMD-1803-53.pdf#page=7","Abrir facsímil")</f>
        <v>Abrir facsímil</v>
      </c>
      <c r="K4467" s="15" t="s">
        <v>23</v>
      </c>
    </row>
    <row r="4468" spans="1:11" ht="42" customHeight="1">
      <c r="A4468" s="4" t="s">
        <v>11133</v>
      </c>
      <c r="B4468" s="5" t="s">
        <v>11133</v>
      </c>
      <c r="C4468" s="5" t="s">
        <v>26</v>
      </c>
      <c r="D4468" s="5" t="s">
        <v>27</v>
      </c>
      <c r="E4468" s="5" t="s">
        <v>619</v>
      </c>
      <c r="F4468" s="9">
        <v>53</v>
      </c>
      <c r="G4468" s="9">
        <v>577</v>
      </c>
      <c r="H4468" s="5" t="s">
        <v>21</v>
      </c>
      <c r="I4468" s="5" t="s">
        <v>11134</v>
      </c>
      <c r="J4468" s="12" t="str">
        <f>HYPERLINK("https://www.boe.es/gazeta/dias/1803/07/05/pdfs/GMD-1803-53.pdf#page=9","Abrir facsímil")</f>
        <v>Abrir facsímil</v>
      </c>
      <c r="K4468" s="15" t="s">
        <v>23</v>
      </c>
    </row>
    <row r="4469" spans="1:11" ht="42" customHeight="1">
      <c r="A4469" s="4" t="s">
        <v>11135</v>
      </c>
      <c r="B4469" s="5" t="s">
        <v>11135</v>
      </c>
      <c r="C4469" s="5" t="s">
        <v>18</v>
      </c>
      <c r="D4469" s="5" t="s">
        <v>19</v>
      </c>
      <c r="E4469" s="5" t="s">
        <v>258</v>
      </c>
      <c r="F4469" s="9">
        <v>7</v>
      </c>
      <c r="G4469" s="9">
        <v>67</v>
      </c>
      <c r="H4469" s="5" t="s">
        <v>21</v>
      </c>
      <c r="I4469" s="5" t="s">
        <v>11136</v>
      </c>
      <c r="J4469" s="12" t="str">
        <f>HYPERLINK("https://www.boe.es/gazeta/dias/1803/01/25/pdfs/GMD-1803-7.pdf#page=7","Abrir facsímil")</f>
        <v>Abrir facsímil</v>
      </c>
      <c r="K4469" s="15" t="s">
        <v>23</v>
      </c>
    </row>
    <row r="4470" spans="1:11" ht="42" customHeight="1">
      <c r="A4470" s="4" t="s">
        <v>11135</v>
      </c>
      <c r="B4470" s="5" t="s">
        <v>11135</v>
      </c>
      <c r="C4470" s="5" t="s">
        <v>18</v>
      </c>
      <c r="D4470" s="5" t="s">
        <v>19</v>
      </c>
      <c r="E4470" s="5" t="s">
        <v>88</v>
      </c>
      <c r="F4470" s="9">
        <v>18</v>
      </c>
      <c r="G4470" s="9">
        <v>183</v>
      </c>
      <c r="H4470" s="5" t="s">
        <v>21</v>
      </c>
      <c r="I4470" s="5" t="s">
        <v>11137</v>
      </c>
      <c r="J4470" s="12" t="str">
        <f>HYPERLINK("https://www.boe.es/gazeta/dias/1803/03/04/pdfs/GMD-1803-18.pdf#page=3","Abrir facsímil")</f>
        <v>Abrir facsímil</v>
      </c>
      <c r="K4470" s="15" t="s">
        <v>23</v>
      </c>
    </row>
    <row r="4471" spans="1:11" ht="42" customHeight="1">
      <c r="A4471" s="4" t="s">
        <v>11135</v>
      </c>
      <c r="B4471" s="5" t="s">
        <v>11135</v>
      </c>
      <c r="C4471" s="5" t="s">
        <v>51</v>
      </c>
      <c r="D4471" s="5" t="s">
        <v>52</v>
      </c>
      <c r="E4471" s="5" t="s">
        <v>88</v>
      </c>
      <c r="F4471" s="9">
        <v>18</v>
      </c>
      <c r="G4471" s="9">
        <v>184</v>
      </c>
      <c r="H4471" s="5" t="s">
        <v>21</v>
      </c>
      <c r="I4471" s="5" t="s">
        <v>11138</v>
      </c>
      <c r="J4471" s="12" t="str">
        <f>HYPERLINK("https://www.boe.es/gazeta/dias/1803/03/04/pdfs/GMD-1803-18.pdf#page=4","Abrir facsímil")</f>
        <v>Abrir facsímil</v>
      </c>
      <c r="K4471" s="15" t="s">
        <v>23</v>
      </c>
    </row>
    <row r="4472" spans="1:11" ht="42" customHeight="1">
      <c r="A4472" s="4" t="s">
        <v>11139</v>
      </c>
      <c r="B4472" s="5" t="s">
        <v>11139</v>
      </c>
      <c r="C4472" s="5" t="s">
        <v>80</v>
      </c>
      <c r="D4472" s="5" t="s">
        <v>81</v>
      </c>
      <c r="E4472" s="5" t="s">
        <v>117</v>
      </c>
      <c r="F4472" s="9">
        <v>59</v>
      </c>
      <c r="G4472" s="9">
        <v>643</v>
      </c>
      <c r="H4472" s="5" t="s">
        <v>21</v>
      </c>
      <c r="I4472" s="5" t="s">
        <v>11140</v>
      </c>
      <c r="J4472" s="12" t="str">
        <f>HYPERLINK("https://www.boe.es/gazeta/dias/1803/07/26/pdfs/GMD-1803-59.pdf#page=3","Abrir facsímil")</f>
        <v>Abrir facsímil</v>
      </c>
      <c r="K4472" s="15" t="s">
        <v>23</v>
      </c>
    </row>
    <row r="4473" spans="1:11" ht="42" customHeight="1">
      <c r="A4473" s="4" t="s">
        <v>11141</v>
      </c>
      <c r="B4473" s="5" t="s">
        <v>11141</v>
      </c>
      <c r="C4473" s="5" t="s">
        <v>40</v>
      </c>
      <c r="D4473" s="5" t="s">
        <v>41</v>
      </c>
      <c r="E4473" s="5" t="s">
        <v>77</v>
      </c>
      <c r="F4473" s="9">
        <v>64</v>
      </c>
      <c r="G4473" s="9">
        <v>695</v>
      </c>
      <c r="H4473" s="5" t="s">
        <v>21</v>
      </c>
      <c r="I4473" s="5" t="s">
        <v>11142</v>
      </c>
      <c r="J4473" s="12" t="str">
        <f>HYPERLINK("https://www.boe.es/gazeta/dias/1803/08/12/pdfs/GMD-1803-64.pdf#page=3","Abrir facsímil")</f>
        <v>Abrir facsímil</v>
      </c>
      <c r="K4473" s="15" t="s">
        <v>23</v>
      </c>
    </row>
    <row r="4474" spans="1:11" ht="42" customHeight="1">
      <c r="A4474" s="4" t="s">
        <v>11143</v>
      </c>
      <c r="B4474" s="5" t="s">
        <v>11143</v>
      </c>
      <c r="C4474" s="5" t="s">
        <v>40</v>
      </c>
      <c r="D4474" s="5" t="s">
        <v>41</v>
      </c>
      <c r="E4474" s="5" t="s">
        <v>64</v>
      </c>
      <c r="F4474" s="9">
        <v>65</v>
      </c>
      <c r="G4474" s="9">
        <v>702</v>
      </c>
      <c r="H4474" s="5" t="s">
        <v>21</v>
      </c>
      <c r="I4474" s="5" t="s">
        <v>11144</v>
      </c>
      <c r="J4474" s="12" t="str">
        <f>HYPERLINK("https://www.boe.es/gazeta/dias/1803/08/16/pdfs/GMD-1803-65.pdf#page=2","Abrir facsímil")</f>
        <v>Abrir facsímil</v>
      </c>
      <c r="K4474" s="15" t="s">
        <v>23</v>
      </c>
    </row>
    <row r="4475" spans="1:11" ht="42" customHeight="1">
      <c r="A4475" s="4" t="s">
        <v>11145</v>
      </c>
      <c r="B4475" s="5" t="s">
        <v>11145</v>
      </c>
      <c r="C4475" s="5" t="s">
        <v>40</v>
      </c>
      <c r="D4475" s="5" t="s">
        <v>41</v>
      </c>
      <c r="E4475" s="5" t="s">
        <v>93</v>
      </c>
      <c r="F4475" s="9">
        <v>43</v>
      </c>
      <c r="G4475" s="9">
        <v>448</v>
      </c>
      <c r="H4475" s="5" t="s">
        <v>21</v>
      </c>
      <c r="I4475" s="5" t="s">
        <v>11146</v>
      </c>
      <c r="J4475" s="12" t="str">
        <f>HYPERLINK("https://www.boe.es/gazeta/dias/1803/05/31/pdfs/GMD-1803-43.pdf#page=8","Abrir facsímil")</f>
        <v>Abrir facsímil</v>
      </c>
      <c r="K4475" s="15" t="s">
        <v>23</v>
      </c>
    </row>
    <row r="4476" spans="1:11" ht="42" customHeight="1">
      <c r="A4476" s="4" t="s">
        <v>11147</v>
      </c>
      <c r="B4476" s="5" t="s">
        <v>11147</v>
      </c>
      <c r="C4476" s="5" t="s">
        <v>26</v>
      </c>
      <c r="D4476" s="5" t="s">
        <v>27</v>
      </c>
      <c r="E4476" s="5" t="s">
        <v>218</v>
      </c>
      <c r="F4476" s="9">
        <v>19</v>
      </c>
      <c r="G4476" s="9">
        <v>199</v>
      </c>
      <c r="H4476" s="5" t="s">
        <v>21</v>
      </c>
      <c r="I4476" s="5" t="s">
        <v>11148</v>
      </c>
      <c r="J4476" s="12" t="str">
        <f>HYPERLINK("https://www.boe.es/gazeta/dias/1803/03/08/pdfs/GMD-1803-19.pdf#page=7","Abrir facsímil")</f>
        <v>Abrir facsímil</v>
      </c>
      <c r="K4476" s="15" t="s">
        <v>23</v>
      </c>
    </row>
    <row r="4477" spans="1:11" ht="42" customHeight="1">
      <c r="A4477" s="4" t="s">
        <v>11149</v>
      </c>
      <c r="B4477" s="5" t="s">
        <v>11149</v>
      </c>
      <c r="C4477" s="5" t="s">
        <v>40</v>
      </c>
      <c r="D4477" s="5" t="s">
        <v>41</v>
      </c>
      <c r="E4477" s="5" t="s">
        <v>211</v>
      </c>
      <c r="F4477" s="9">
        <v>71</v>
      </c>
      <c r="G4477" s="9">
        <v>770</v>
      </c>
      <c r="H4477" s="5" t="s">
        <v>21</v>
      </c>
      <c r="I4477" s="5" t="s">
        <v>11150</v>
      </c>
      <c r="J4477" s="12" t="str">
        <f>HYPERLINK("https://www.boe.es/gazeta/dias/1803/09/06/pdfs/GMD-1803-71.pdf#page=2","Abrir facsímil")</f>
        <v>Abrir facsímil</v>
      </c>
      <c r="K4477" s="15" t="s">
        <v>23</v>
      </c>
    </row>
    <row r="4478" spans="1:11" ht="42" customHeight="1">
      <c r="A4478" s="4" t="s">
        <v>11151</v>
      </c>
      <c r="B4478" s="5" t="s">
        <v>11152</v>
      </c>
      <c r="C4478" s="5" t="s">
        <v>26</v>
      </c>
      <c r="D4478" s="5" t="s">
        <v>27</v>
      </c>
      <c r="E4478" s="5" t="s">
        <v>75</v>
      </c>
      <c r="F4478" s="9">
        <v>56</v>
      </c>
      <c r="G4478" s="9">
        <v>611</v>
      </c>
      <c r="H4478" s="5" t="s">
        <v>21</v>
      </c>
      <c r="I4478" s="5" t="s">
        <v>11153</v>
      </c>
      <c r="J4478" s="12" t="str">
        <f>HYPERLINK("https://www.boe.es/gazeta/dias/1803/07/15/pdfs/GMD-1803-56.pdf#page=7","Abrir facsímil")</f>
        <v>Abrir facsímil</v>
      </c>
      <c r="K4478" s="15" t="s">
        <v>23</v>
      </c>
    </row>
    <row r="4479" spans="1:11" ht="42" customHeight="1">
      <c r="A4479" s="4" t="s">
        <v>11154</v>
      </c>
      <c r="B4479" s="5" t="s">
        <v>11155</v>
      </c>
      <c r="C4479" s="5" t="s">
        <v>18</v>
      </c>
      <c r="D4479" s="5" t="s">
        <v>19</v>
      </c>
      <c r="E4479" s="5" t="s">
        <v>784</v>
      </c>
      <c r="F4479" s="9">
        <v>86</v>
      </c>
      <c r="G4479" s="9">
        <v>929</v>
      </c>
      <c r="H4479" s="5" t="s">
        <v>21</v>
      </c>
      <c r="I4479" s="5" t="s">
        <v>11156</v>
      </c>
      <c r="J4479" s="12" t="str">
        <f>HYPERLINK("https://www.boe.es/gazeta/dias/1803/10/25/pdfs/GMD-1803-86.pdf#page=9","Abrir facsímil")</f>
        <v>Abrir facsímil</v>
      </c>
      <c r="K4479" s="15" t="s">
        <v>23</v>
      </c>
    </row>
    <row r="4480" spans="1:11" ht="42" customHeight="1">
      <c r="A4480" s="4" t="s">
        <v>11157</v>
      </c>
      <c r="B4480" s="5" t="s">
        <v>11158</v>
      </c>
      <c r="C4480" s="5" t="s">
        <v>26</v>
      </c>
      <c r="D4480" s="5" t="s">
        <v>27</v>
      </c>
      <c r="E4480" s="5" t="s">
        <v>609</v>
      </c>
      <c r="F4480" s="9">
        <v>57</v>
      </c>
      <c r="G4480" s="9">
        <v>619</v>
      </c>
      <c r="H4480" s="5" t="s">
        <v>21</v>
      </c>
      <c r="I4480" s="5" t="s">
        <v>11159</v>
      </c>
      <c r="J4480" s="12" t="str">
        <f>HYPERLINK("https://www.boe.es/gazeta/dias/1803/07/19/pdfs/GMD-1803-57.pdf#page=7","Abrir facsímil")</f>
        <v>Abrir facsímil</v>
      </c>
      <c r="K4480" s="15" t="s">
        <v>23</v>
      </c>
    </row>
    <row r="4481" spans="1:11" ht="42" customHeight="1">
      <c r="A4481" s="4" t="s">
        <v>11160</v>
      </c>
      <c r="B4481" s="5" t="s">
        <v>11161</v>
      </c>
      <c r="C4481" s="5" t="s">
        <v>46</v>
      </c>
      <c r="D4481" s="5" t="s">
        <v>19</v>
      </c>
      <c r="E4481" s="5" t="s">
        <v>189</v>
      </c>
      <c r="F4481" s="9">
        <v>9</v>
      </c>
      <c r="G4481" s="9">
        <v>92</v>
      </c>
      <c r="H4481" s="5" t="s">
        <v>21</v>
      </c>
      <c r="I4481" s="5" t="s">
        <v>11162</v>
      </c>
      <c r="J4481" s="12" t="str">
        <f>HYPERLINK("https://www.boe.es/gazeta/dias/1803/02/01/pdfs/GMD-1803-9.pdf#page=8","Abrir facsímil")</f>
        <v>Abrir facsímil</v>
      </c>
      <c r="K4481" s="15" t="s">
        <v>23</v>
      </c>
    </row>
    <row r="4482" spans="1:11" ht="42" customHeight="1">
      <c r="A4482" s="4" t="s">
        <v>11163</v>
      </c>
      <c r="B4482" s="5" t="s">
        <v>11164</v>
      </c>
      <c r="C4482" s="5" t="s">
        <v>26</v>
      </c>
      <c r="D4482" s="5" t="s">
        <v>27</v>
      </c>
      <c r="E4482" s="5" t="s">
        <v>321</v>
      </c>
      <c r="F4482" s="9">
        <v>94</v>
      </c>
      <c r="G4482" s="9">
        <v>1010</v>
      </c>
      <c r="H4482" s="5" t="s">
        <v>21</v>
      </c>
      <c r="I4482" s="5" t="s">
        <v>11165</v>
      </c>
      <c r="J4482" s="12" t="str">
        <f>HYPERLINK("https://www.boe.es/gazeta/dias/1803/11/22/pdfs/GMD-1803-94.pdf#page=10","Abrir facsímil")</f>
        <v>Abrir facsímil</v>
      </c>
      <c r="K4482" s="15" t="s">
        <v>23</v>
      </c>
    </row>
    <row r="4483" spans="1:11" ht="42" customHeight="1">
      <c r="A4483" s="4" t="s">
        <v>11166</v>
      </c>
      <c r="B4483" s="5" t="s">
        <v>11167</v>
      </c>
      <c r="C4483" s="5" t="s">
        <v>80</v>
      </c>
      <c r="D4483" s="5" t="s">
        <v>81</v>
      </c>
      <c r="E4483" s="5" t="s">
        <v>389</v>
      </c>
      <c r="F4483" s="9">
        <v>41</v>
      </c>
      <c r="G4483" s="9">
        <v>432</v>
      </c>
      <c r="H4483" s="5" t="s">
        <v>21</v>
      </c>
      <c r="I4483" s="5" t="s">
        <v>11168</v>
      </c>
      <c r="J4483" s="12" t="str">
        <f>HYPERLINK("https://www.boe.es/gazeta/dias/1803/05/24/pdfs/GMD-1803-41.pdf#page=8","Abrir facsímil")</f>
        <v>Abrir facsímil</v>
      </c>
      <c r="K4483" s="15" t="s">
        <v>23</v>
      </c>
    </row>
    <row r="4484" spans="1:11" ht="42" customHeight="1">
      <c r="A4484" s="4" t="s">
        <v>11169</v>
      </c>
      <c r="B4484" s="5" t="s">
        <v>11170</v>
      </c>
      <c r="C4484" s="5" t="s">
        <v>26</v>
      </c>
      <c r="D4484" s="5" t="s">
        <v>27</v>
      </c>
      <c r="E4484" s="5" t="s">
        <v>328</v>
      </c>
      <c r="F4484" s="9">
        <v>54</v>
      </c>
      <c r="G4484" s="9">
        <v>590</v>
      </c>
      <c r="H4484" s="5" t="s">
        <v>21</v>
      </c>
      <c r="I4484" s="5" t="s">
        <v>11171</v>
      </c>
      <c r="J4484" s="12" t="str">
        <f>HYPERLINK("https://www.boe.es/gazeta/dias/1803/07/08/pdfs/GMD-1803-54.pdf#page=10","Abrir facsímil")</f>
        <v>Abrir facsímil</v>
      </c>
      <c r="K4484" s="15" t="s">
        <v>23</v>
      </c>
    </row>
    <row r="4485" spans="1:11" ht="42" customHeight="1">
      <c r="A4485" s="4" t="s">
        <v>11172</v>
      </c>
      <c r="B4485" s="5" t="s">
        <v>11173</v>
      </c>
      <c r="C4485" s="5" t="s">
        <v>26</v>
      </c>
      <c r="D4485" s="5" t="s">
        <v>27</v>
      </c>
      <c r="E4485" s="5" t="s">
        <v>148</v>
      </c>
      <c r="F4485" s="9">
        <v>15</v>
      </c>
      <c r="G4485" s="9">
        <v>157</v>
      </c>
      <c r="H4485" s="5" t="s">
        <v>21</v>
      </c>
      <c r="I4485" s="5" t="s">
        <v>11174</v>
      </c>
      <c r="J4485" s="12" t="str">
        <f>HYPERLINK("https://www.boe.es/gazeta/dias/1803/02/22/pdfs/GMD-1803-15.pdf#page=9","Abrir facsímil")</f>
        <v>Abrir facsímil</v>
      </c>
      <c r="K4485" s="15" t="s">
        <v>23</v>
      </c>
    </row>
    <row r="4486" spans="1:11" ht="42" customHeight="1">
      <c r="A4486" s="4" t="s">
        <v>11175</v>
      </c>
      <c r="B4486" s="5" t="s">
        <v>11176</v>
      </c>
      <c r="C4486" s="5" t="s">
        <v>26</v>
      </c>
      <c r="D4486" s="5" t="s">
        <v>27</v>
      </c>
      <c r="E4486" s="5" t="s">
        <v>967</v>
      </c>
      <c r="F4486" s="9">
        <v>35</v>
      </c>
      <c r="G4486" s="9">
        <v>367</v>
      </c>
      <c r="H4486" s="5" t="s">
        <v>21</v>
      </c>
      <c r="I4486" s="5" t="s">
        <v>11177</v>
      </c>
      <c r="J4486" s="12" t="str">
        <f>HYPERLINK("https://www.boe.es/gazeta/dias/1803/05/03/pdfs/GMD-1803-35.pdf#page=7","Abrir facsímil")</f>
        <v>Abrir facsímil</v>
      </c>
      <c r="K4486" s="15" t="s">
        <v>23</v>
      </c>
    </row>
    <row r="4487" spans="1:11" ht="42" customHeight="1">
      <c r="A4487" s="4" t="s">
        <v>11178</v>
      </c>
      <c r="B4487" s="5" t="s">
        <v>11179</v>
      </c>
      <c r="C4487" s="5" t="s">
        <v>26</v>
      </c>
      <c r="D4487" s="5" t="s">
        <v>27</v>
      </c>
      <c r="E4487" s="5" t="s">
        <v>439</v>
      </c>
      <c r="F4487" s="9">
        <v>76</v>
      </c>
      <c r="G4487" s="9">
        <v>822</v>
      </c>
      <c r="H4487" s="5" t="s">
        <v>21</v>
      </c>
      <c r="I4487" s="5" t="s">
        <v>11180</v>
      </c>
      <c r="J4487" s="12" t="str">
        <f>HYPERLINK("https://www.boe.es/gazeta/dias/1803/09/20/pdfs/GMD-1803-76.pdf#page=10","Abrir facsímil")</f>
        <v>Abrir facsímil</v>
      </c>
      <c r="K4487" s="15" t="s">
        <v>23</v>
      </c>
    </row>
    <row r="4488" spans="1:11" ht="42" customHeight="1">
      <c r="A4488" s="4" t="s">
        <v>11181</v>
      </c>
      <c r="B4488" s="5" t="s">
        <v>11182</v>
      </c>
      <c r="C4488" s="5" t="s">
        <v>18</v>
      </c>
      <c r="D4488" s="5" t="s">
        <v>19</v>
      </c>
      <c r="E4488" s="5" t="s">
        <v>160</v>
      </c>
      <c r="F4488" s="9">
        <v>81</v>
      </c>
      <c r="G4488" s="9">
        <v>871</v>
      </c>
      <c r="H4488" s="5" t="s">
        <v>21</v>
      </c>
      <c r="I4488" s="5" t="s">
        <v>11183</v>
      </c>
      <c r="J4488" s="12" t="str">
        <f>HYPERLINK("https://www.boe.es/gazeta/dias/1803/10/07/pdfs/GMD-1803-81.pdf#page=7","Abrir facsímil")</f>
        <v>Abrir facsímil</v>
      </c>
      <c r="K4488" s="15" t="s">
        <v>23</v>
      </c>
    </row>
    <row r="4489" spans="1:11" ht="42" customHeight="1">
      <c r="A4489" s="4" t="s">
        <v>11184</v>
      </c>
      <c r="B4489" s="5" t="s">
        <v>11185</v>
      </c>
      <c r="C4489" s="5" t="s">
        <v>26</v>
      </c>
      <c r="D4489" s="5" t="s">
        <v>27</v>
      </c>
      <c r="E4489" s="5" t="s">
        <v>395</v>
      </c>
      <c r="F4489" s="9">
        <v>13</v>
      </c>
      <c r="G4489" s="9">
        <v>133</v>
      </c>
      <c r="H4489" s="5" t="s">
        <v>21</v>
      </c>
      <c r="I4489" s="5" t="s">
        <v>11186</v>
      </c>
      <c r="J4489" s="12" t="str">
        <f>HYPERLINK("https://www.boe.es/gazeta/dias/1803/02/15/pdfs/GMD-1803-13.pdf#page=9","Abrir facsímil")</f>
        <v>Abrir facsímil</v>
      </c>
      <c r="K4489" s="15" t="s">
        <v>23</v>
      </c>
    </row>
    <row r="4490" spans="1:11" ht="42" customHeight="1">
      <c r="A4490" s="4" t="s">
        <v>11184</v>
      </c>
      <c r="B4490" s="5" t="s">
        <v>11185</v>
      </c>
      <c r="C4490" s="5" t="s">
        <v>51</v>
      </c>
      <c r="D4490" s="5" t="s">
        <v>52</v>
      </c>
      <c r="E4490" s="5" t="s">
        <v>109</v>
      </c>
      <c r="F4490" s="9">
        <v>102</v>
      </c>
      <c r="G4490" s="9">
        <v>1096</v>
      </c>
      <c r="H4490" s="5" t="s">
        <v>21</v>
      </c>
      <c r="I4490" s="5" t="s">
        <v>11187</v>
      </c>
      <c r="J4490" s="12" t="str">
        <f>HYPERLINK("https://www.boe.es/gazeta/dias/1803/12/20/pdfs/GMD-1803-102.pdf#page=8","Abrir facsímil")</f>
        <v>Abrir facsímil</v>
      </c>
      <c r="K4490" s="15" t="s">
        <v>23</v>
      </c>
    </row>
    <row r="4491" spans="1:11" ht="42" customHeight="1">
      <c r="A4491" s="4" t="s">
        <v>11188</v>
      </c>
      <c r="B4491" s="5" t="s">
        <v>11189</v>
      </c>
      <c r="C4491" s="5" t="s">
        <v>80</v>
      </c>
      <c r="D4491" s="5" t="s">
        <v>81</v>
      </c>
      <c r="E4491" s="5" t="s">
        <v>207</v>
      </c>
      <c r="F4491" s="9">
        <v>27</v>
      </c>
      <c r="G4491" s="9">
        <v>296</v>
      </c>
      <c r="H4491" s="5" t="s">
        <v>21</v>
      </c>
      <c r="I4491" s="5" t="s">
        <v>11190</v>
      </c>
      <c r="J4491" s="12" t="str">
        <f>HYPERLINK("https://www.boe.es/gazeta/dias/1803/04/05/pdfs/GMD-1803-27.pdf#page=12","Abrir facsímil")</f>
        <v>Abrir facsímil</v>
      </c>
      <c r="K4491" s="15" t="s">
        <v>23</v>
      </c>
    </row>
    <row r="4492" spans="1:11" ht="42" customHeight="1">
      <c r="A4492" s="4" t="s">
        <v>11191</v>
      </c>
      <c r="B4492" s="5" t="s">
        <v>11192</v>
      </c>
      <c r="C4492" s="5" t="s">
        <v>51</v>
      </c>
      <c r="D4492" s="5" t="s">
        <v>52</v>
      </c>
      <c r="E4492" s="5" t="s">
        <v>113</v>
      </c>
      <c r="F4492" s="9">
        <v>93</v>
      </c>
      <c r="G4492" s="9">
        <v>997</v>
      </c>
      <c r="H4492" s="5" t="s">
        <v>21</v>
      </c>
      <c r="I4492" s="5" t="s">
        <v>11193</v>
      </c>
      <c r="J4492" s="12" t="str">
        <f>HYPERLINK("https://www.boe.es/gazeta/dias/1803/11/18/pdfs/GMD-1803-93.pdf#page=9","Abrir facsímil")</f>
        <v>Abrir facsímil</v>
      </c>
      <c r="K4492" s="15" t="s">
        <v>23</v>
      </c>
    </row>
    <row r="4493" spans="1:11" ht="42" customHeight="1">
      <c r="A4493" s="4" t="s">
        <v>11194</v>
      </c>
      <c r="B4493" s="5" t="s">
        <v>11194</v>
      </c>
      <c r="C4493" s="5" t="s">
        <v>26</v>
      </c>
      <c r="D4493" s="5" t="s">
        <v>27</v>
      </c>
      <c r="E4493" s="5" t="s">
        <v>218</v>
      </c>
      <c r="F4493" s="9">
        <v>19</v>
      </c>
      <c r="G4493" s="9">
        <v>201</v>
      </c>
      <c r="H4493" s="5" t="s">
        <v>21</v>
      </c>
      <c r="I4493" s="5" t="s">
        <v>11195</v>
      </c>
      <c r="J4493" s="12" t="str">
        <f>HYPERLINK("https://www.boe.es/gazeta/dias/1803/03/08/pdfs/GMD-1803-19.pdf#page=9","Abrir facsímil")</f>
        <v>Abrir facsímil</v>
      </c>
      <c r="K4493" s="15" t="s">
        <v>23</v>
      </c>
    </row>
    <row r="4494" spans="1:11" ht="42" customHeight="1">
      <c r="A4494" s="4" t="s">
        <v>11196</v>
      </c>
      <c r="B4494" s="5" t="s">
        <v>11197</v>
      </c>
      <c r="C4494" s="5" t="s">
        <v>26</v>
      </c>
      <c r="D4494" s="5" t="s">
        <v>27</v>
      </c>
      <c r="E4494" s="5" t="s">
        <v>523</v>
      </c>
      <c r="F4494" s="9">
        <v>101</v>
      </c>
      <c r="G4494" s="9">
        <v>1087</v>
      </c>
      <c r="H4494" s="5" t="s">
        <v>21</v>
      </c>
      <c r="I4494" s="5" t="s">
        <v>11198</v>
      </c>
      <c r="J4494" s="12" t="str">
        <f>HYPERLINK("https://www.boe.es/gazeta/dias/1803/12/16/pdfs/GMD-1803-101.pdf#page=11","Abrir facsímil")</f>
        <v>Abrir facsímil</v>
      </c>
      <c r="K4494" s="15" t="s">
        <v>23</v>
      </c>
    </row>
    <row r="4495" spans="1:11" ht="42" customHeight="1">
      <c r="A4495" s="4" t="s">
        <v>11199</v>
      </c>
      <c r="B4495" s="5" t="s">
        <v>11200</v>
      </c>
      <c r="C4495" s="5" t="s">
        <v>26</v>
      </c>
      <c r="D4495" s="5" t="s">
        <v>27</v>
      </c>
      <c r="E4495" s="5" t="s">
        <v>32</v>
      </c>
      <c r="F4495" s="9">
        <v>74</v>
      </c>
      <c r="G4495" s="9">
        <v>803</v>
      </c>
      <c r="H4495" s="5" t="s">
        <v>21</v>
      </c>
      <c r="I4495" s="5" t="s">
        <v>11201</v>
      </c>
      <c r="J4495" s="12" t="str">
        <f>HYPERLINK("https://www.boe.es/gazeta/dias/1803/09/13/pdfs/GMD-1803-74.pdf#page=7","Abrir facsímil")</f>
        <v>Abrir facsímil</v>
      </c>
      <c r="K4495" s="15" t="s">
        <v>23</v>
      </c>
    </row>
    <row r="4496" spans="1:11" ht="42" customHeight="1">
      <c r="A4496" s="4" t="s">
        <v>11202</v>
      </c>
      <c r="B4496" s="5" t="s">
        <v>11203</v>
      </c>
      <c r="C4496" s="5" t="s">
        <v>51</v>
      </c>
      <c r="D4496" s="5" t="s">
        <v>52</v>
      </c>
      <c r="E4496" s="5" t="s">
        <v>174</v>
      </c>
      <c r="F4496" s="9">
        <v>21</v>
      </c>
      <c r="G4496" s="9">
        <v>226</v>
      </c>
      <c r="H4496" s="5" t="s">
        <v>21</v>
      </c>
      <c r="I4496" s="5" t="s">
        <v>11204</v>
      </c>
      <c r="J4496" s="12" t="str">
        <f>HYPERLINK("https://www.boe.es/gazeta/dias/1803/03/15/pdfs/GMD-1803-21.pdf#page=10","Abrir facsímil")</f>
        <v>Abrir facsímil</v>
      </c>
      <c r="K4496" s="15" t="s">
        <v>23</v>
      </c>
    </row>
    <row r="4497" spans="1:11" ht="42" customHeight="1">
      <c r="A4497" s="4" t="s">
        <v>11205</v>
      </c>
      <c r="B4497" s="5" t="s">
        <v>11206</v>
      </c>
      <c r="C4497" s="5" t="s">
        <v>26</v>
      </c>
      <c r="D4497" s="5" t="s">
        <v>27</v>
      </c>
      <c r="E4497" s="5" t="s">
        <v>199</v>
      </c>
      <c r="F4497" s="9">
        <v>88</v>
      </c>
      <c r="G4497" s="9">
        <v>945</v>
      </c>
      <c r="H4497" s="5" t="s">
        <v>21</v>
      </c>
      <c r="I4497" s="5" t="s">
        <v>11207</v>
      </c>
      <c r="J4497" s="12" t="str">
        <f>HYPERLINK("https://www.boe.es/gazeta/dias/1803/11/01/pdfs/GMD-1803-88.pdf#page=5","Abrir facsímil")</f>
        <v>Abrir facsímil</v>
      </c>
      <c r="K4497" s="15" t="s">
        <v>23</v>
      </c>
    </row>
    <row r="4498" spans="1:11" ht="42" customHeight="1">
      <c r="A4498" s="4" t="s">
        <v>11208</v>
      </c>
      <c r="B4498" s="5" t="s">
        <v>11209</v>
      </c>
      <c r="C4498" s="5" t="s">
        <v>80</v>
      </c>
      <c r="D4498" s="5" t="s">
        <v>81</v>
      </c>
      <c r="E4498" s="5" t="s">
        <v>117</v>
      </c>
      <c r="F4498" s="9">
        <v>59</v>
      </c>
      <c r="G4498" s="9">
        <v>648</v>
      </c>
      <c r="H4498" s="5" t="s">
        <v>21</v>
      </c>
      <c r="I4498" s="5" t="s">
        <v>11210</v>
      </c>
      <c r="J4498" s="12" t="str">
        <f>HYPERLINK("https://www.boe.es/gazeta/dias/1803/07/26/pdfs/GMD-1803-59.pdf#page=8","Abrir facsímil")</f>
        <v>Abrir facsímil</v>
      </c>
      <c r="K4498" s="15" t="s">
        <v>23</v>
      </c>
    </row>
    <row r="4499" spans="1:11" ht="42" customHeight="1">
      <c r="A4499" s="4" t="s">
        <v>11208</v>
      </c>
      <c r="B4499" s="5" t="s">
        <v>11209</v>
      </c>
      <c r="C4499" s="5" t="s">
        <v>80</v>
      </c>
      <c r="D4499" s="5" t="s">
        <v>81</v>
      </c>
      <c r="E4499" s="5" t="s">
        <v>391</v>
      </c>
      <c r="F4499" s="9">
        <v>61</v>
      </c>
      <c r="G4499" s="9">
        <v>668</v>
      </c>
      <c r="H4499" s="5" t="s">
        <v>21</v>
      </c>
      <c r="I4499" s="5" t="s">
        <v>11211</v>
      </c>
      <c r="J4499" s="12" t="str">
        <f>HYPERLINK("https://www.boe.es/gazeta/dias/1803/08/02/pdfs/GMD-1803-61.pdf#page=8","Abrir facsímil")</f>
        <v>Abrir facsímil</v>
      </c>
      <c r="K4499" s="15" t="s">
        <v>23</v>
      </c>
    </row>
    <row r="4500" spans="1:11" ht="42" customHeight="1">
      <c r="A4500" s="4" t="s">
        <v>11212</v>
      </c>
      <c r="B4500" s="5" t="s">
        <v>11213</v>
      </c>
      <c r="C4500" s="5" t="s">
        <v>26</v>
      </c>
      <c r="D4500" s="5" t="s">
        <v>27</v>
      </c>
      <c r="E4500" s="5" t="s">
        <v>501</v>
      </c>
      <c r="F4500" s="9">
        <v>22</v>
      </c>
      <c r="G4500" s="9">
        <v>237</v>
      </c>
      <c r="H4500" s="5" t="s">
        <v>21</v>
      </c>
      <c r="I4500" s="5" t="s">
        <v>11214</v>
      </c>
      <c r="J4500" s="12" t="str">
        <f>HYPERLINK("https://www.boe.es/gazeta/dias/1803/03/18/pdfs/GMD-1803-22.pdf#page=9","Abrir facsímil")</f>
        <v>Abrir facsímil</v>
      </c>
      <c r="K4500" s="15" t="s">
        <v>23</v>
      </c>
    </row>
    <row r="4501" spans="1:11" ht="42" customHeight="1">
      <c r="A4501" s="4" t="s">
        <v>11215</v>
      </c>
      <c r="B4501" s="5" t="s">
        <v>11216</v>
      </c>
      <c r="C4501" s="5" t="s">
        <v>18</v>
      </c>
      <c r="D4501" s="5" t="s">
        <v>19</v>
      </c>
      <c r="E4501" s="5" t="s">
        <v>726</v>
      </c>
      <c r="F4501" s="9">
        <v>78</v>
      </c>
      <c r="G4501" s="9">
        <v>847</v>
      </c>
      <c r="H4501" s="5" t="s">
        <v>21</v>
      </c>
      <c r="I4501" s="5" t="s">
        <v>11217</v>
      </c>
      <c r="J4501" s="12" t="str">
        <f>HYPERLINK("https://www.boe.es/gazeta/dias/1803/09/27/pdfs/GMD-1803-78.pdf#page=11","Abrir facsímil")</f>
        <v>Abrir facsímil</v>
      </c>
      <c r="K4501" s="15" t="s">
        <v>23</v>
      </c>
    </row>
    <row r="4502" spans="1:11" ht="42" customHeight="1">
      <c r="A4502" s="4" t="s">
        <v>11218</v>
      </c>
      <c r="B4502" s="5" t="s">
        <v>11219</v>
      </c>
      <c r="C4502" s="5" t="s">
        <v>8461</v>
      </c>
      <c r="D4502" s="5" t="s">
        <v>8462</v>
      </c>
      <c r="E4502" s="5" t="s">
        <v>442</v>
      </c>
      <c r="F4502" s="9" t="s">
        <v>443</v>
      </c>
      <c r="G4502" s="9">
        <v>791</v>
      </c>
      <c r="H4502" s="5" t="s">
        <v>21</v>
      </c>
      <c r="I4502" s="5" t="s">
        <v>11220</v>
      </c>
      <c r="J4502" s="12" t="str">
        <f>HYPERLINK("https://www.boe.es/gazeta/dias/1803/09/12/pdfs/GMD-1803-73E.pdf#page=3","Abrir facsímil")</f>
        <v>Abrir facsímil</v>
      </c>
      <c r="K4502" s="15" t="s">
        <v>23</v>
      </c>
    </row>
    <row r="4503" spans="1:11" ht="42" customHeight="1">
      <c r="A4503" s="4" t="s">
        <v>11221</v>
      </c>
      <c r="B4503" s="5" t="s">
        <v>11222</v>
      </c>
      <c r="C4503" s="5" t="s">
        <v>26</v>
      </c>
      <c r="D4503" s="5" t="s">
        <v>27</v>
      </c>
      <c r="E4503" s="5" t="s">
        <v>442</v>
      </c>
      <c r="F4503" s="9" t="s">
        <v>443</v>
      </c>
      <c r="G4503" s="9">
        <v>790</v>
      </c>
      <c r="H4503" s="5" t="s">
        <v>21</v>
      </c>
      <c r="I4503" s="5" t="s">
        <v>11223</v>
      </c>
      <c r="J4503" s="12" t="str">
        <f>HYPERLINK("https://www.boe.es/gazeta/dias/1803/09/12/pdfs/GMD-1803-73E.pdf#page=2","Abrir facsímil")</f>
        <v>Abrir facsímil</v>
      </c>
      <c r="K4503" s="15" t="s">
        <v>23</v>
      </c>
    </row>
    <row r="4504" spans="1:11" ht="42" customHeight="1">
      <c r="A4504" s="4" t="s">
        <v>11224</v>
      </c>
      <c r="B4504" s="5" t="s">
        <v>11224</v>
      </c>
      <c r="C4504" s="5" t="s">
        <v>51</v>
      </c>
      <c r="D4504" s="5" t="s">
        <v>52</v>
      </c>
      <c r="E4504" s="5" t="s">
        <v>256</v>
      </c>
      <c r="F4504" s="9">
        <v>1</v>
      </c>
      <c r="G4504" s="9">
        <v>6</v>
      </c>
      <c r="H4504" s="5" t="s">
        <v>21</v>
      </c>
      <c r="I4504" s="5" t="s">
        <v>6577</v>
      </c>
      <c r="J4504" s="12" t="str">
        <f>HYPERLINK("https://www.boe.es/gazeta/dias/1803/01/04/pdfs/GMD-1803-1.pdf#page=6","Abrir facsímil")</f>
        <v>Abrir facsímil</v>
      </c>
      <c r="K4504" s="15" t="s">
        <v>23</v>
      </c>
    </row>
    <row r="4505" spans="1:11" ht="42" customHeight="1">
      <c r="A4505" s="4" t="s">
        <v>11225</v>
      </c>
      <c r="B4505" s="5" t="s">
        <v>11226</v>
      </c>
      <c r="C4505" s="5" t="s">
        <v>26</v>
      </c>
      <c r="D4505" s="5" t="s">
        <v>27</v>
      </c>
      <c r="E4505" s="5" t="s">
        <v>71</v>
      </c>
      <c r="F4505" s="9">
        <v>39</v>
      </c>
      <c r="G4505" s="9">
        <v>412</v>
      </c>
      <c r="H4505" s="5" t="s">
        <v>21</v>
      </c>
      <c r="I4505" s="5" t="s">
        <v>11227</v>
      </c>
      <c r="J4505" s="12" t="str">
        <f>HYPERLINK("https://www.boe.es/gazeta/dias/1803/05/17/pdfs/GMD-1803-39.pdf#page=8","Abrir facsímil")</f>
        <v>Abrir facsímil</v>
      </c>
      <c r="K4505" s="15" t="s">
        <v>23</v>
      </c>
    </row>
    <row r="4506" spans="1:11" ht="42" customHeight="1">
      <c r="A4506" s="4" t="s">
        <v>11228</v>
      </c>
      <c r="B4506" s="5" t="s">
        <v>11229</v>
      </c>
      <c r="C4506" s="5" t="s">
        <v>18</v>
      </c>
      <c r="D4506" s="5" t="s">
        <v>19</v>
      </c>
      <c r="E4506" s="5" t="s">
        <v>609</v>
      </c>
      <c r="F4506" s="9">
        <v>57</v>
      </c>
      <c r="G4506" s="9">
        <v>619</v>
      </c>
      <c r="H4506" s="5" t="s">
        <v>21</v>
      </c>
      <c r="I4506" s="5" t="s">
        <v>11230</v>
      </c>
      <c r="J4506" s="12" t="str">
        <f>HYPERLINK("https://www.boe.es/gazeta/dias/1803/07/19/pdfs/GMD-1803-57.pdf#page=7","Abrir facsímil")</f>
        <v>Abrir facsímil</v>
      </c>
      <c r="K4506" s="15" t="s">
        <v>23</v>
      </c>
    </row>
    <row r="4507" spans="1:11" ht="42" customHeight="1">
      <c r="A4507" s="4" t="s">
        <v>11231</v>
      </c>
      <c r="B4507" s="5" t="s">
        <v>11232</v>
      </c>
      <c r="C4507" s="5" t="s">
        <v>51</v>
      </c>
      <c r="D4507" s="5" t="s">
        <v>52</v>
      </c>
      <c r="E4507" s="5" t="s">
        <v>439</v>
      </c>
      <c r="F4507" s="9">
        <v>76</v>
      </c>
      <c r="G4507" s="9">
        <v>822</v>
      </c>
      <c r="H4507" s="5" t="s">
        <v>21</v>
      </c>
      <c r="I4507" s="5" t="s">
        <v>11233</v>
      </c>
      <c r="J4507" s="12" t="str">
        <f>HYPERLINK("https://www.boe.es/gazeta/dias/1803/09/20/pdfs/GMD-1803-76.pdf#page=10","Abrir facsímil")</f>
        <v>Abrir facsímil</v>
      </c>
      <c r="K4507" s="15" t="s">
        <v>23</v>
      </c>
    </row>
    <row r="4508" spans="1:11" ht="42" customHeight="1">
      <c r="A4508" s="4" t="s">
        <v>11234</v>
      </c>
      <c r="B4508" s="5" t="s">
        <v>11235</v>
      </c>
      <c r="C4508" s="5" t="s">
        <v>26</v>
      </c>
      <c r="D4508" s="5" t="s">
        <v>27</v>
      </c>
      <c r="E4508" s="5" t="s">
        <v>609</v>
      </c>
      <c r="F4508" s="9">
        <v>57</v>
      </c>
      <c r="G4508" s="9">
        <v>619</v>
      </c>
      <c r="H4508" s="5" t="s">
        <v>21</v>
      </c>
      <c r="I4508" s="5" t="s">
        <v>11236</v>
      </c>
      <c r="J4508" s="12" t="str">
        <f>HYPERLINK("https://www.boe.es/gazeta/dias/1803/07/19/pdfs/GMD-1803-57.pdf#page=7","Abrir facsímil")</f>
        <v>Abrir facsímil</v>
      </c>
      <c r="K4508" s="15" t="s">
        <v>23</v>
      </c>
    </row>
    <row r="4509" spans="1:11" ht="42" customHeight="1">
      <c r="A4509" s="4" t="s">
        <v>11237</v>
      </c>
      <c r="B4509" s="5" t="s">
        <v>11238</v>
      </c>
      <c r="C4509" s="5" t="s">
        <v>26</v>
      </c>
      <c r="D4509" s="5" t="s">
        <v>27</v>
      </c>
      <c r="E4509" s="5" t="s">
        <v>191</v>
      </c>
      <c r="F4509" s="9">
        <v>34</v>
      </c>
      <c r="G4509" s="9">
        <v>358</v>
      </c>
      <c r="H4509" s="5" t="s">
        <v>21</v>
      </c>
      <c r="I4509" s="5" t="s">
        <v>11239</v>
      </c>
      <c r="J4509" s="12" t="str">
        <f>HYPERLINK("https://www.boe.es/gazeta/dias/1803/04/29/pdfs/GMD-1803-34.pdf#page=6","Abrir facsímil")</f>
        <v>Abrir facsímil</v>
      </c>
      <c r="K4509" s="15" t="s">
        <v>23</v>
      </c>
    </row>
    <row r="4510" spans="1:11" ht="42" customHeight="1">
      <c r="A4510" s="4" t="s">
        <v>11240</v>
      </c>
      <c r="B4510" s="5" t="s">
        <v>11241</v>
      </c>
      <c r="C4510" s="5" t="s">
        <v>26</v>
      </c>
      <c r="D4510" s="5" t="s">
        <v>27</v>
      </c>
      <c r="E4510" s="5" t="s">
        <v>278</v>
      </c>
      <c r="F4510" s="9">
        <v>46</v>
      </c>
      <c r="G4510" s="9">
        <v>487</v>
      </c>
      <c r="H4510" s="5" t="s">
        <v>21</v>
      </c>
      <c r="I4510" s="5" t="s">
        <v>11242</v>
      </c>
      <c r="J4510" s="12" t="str">
        <f>HYPERLINK("https://www.boe.es/gazeta/dias/1803/06/10/pdfs/GMD-1803-46.pdf#page=11","Abrir facsímil")</f>
        <v>Abrir facsímil</v>
      </c>
      <c r="K4510" s="15" t="s">
        <v>23</v>
      </c>
    </row>
    <row r="4511" spans="1:11" ht="42" customHeight="1">
      <c r="A4511" s="4" t="s">
        <v>11243</v>
      </c>
      <c r="B4511" s="5" t="s">
        <v>11244</v>
      </c>
      <c r="C4511" s="5" t="s">
        <v>18</v>
      </c>
      <c r="D4511" s="5" t="s">
        <v>19</v>
      </c>
      <c r="E4511" s="5" t="s">
        <v>630</v>
      </c>
      <c r="F4511" s="9">
        <v>85</v>
      </c>
      <c r="G4511" s="9">
        <v>919</v>
      </c>
      <c r="H4511" s="5" t="s">
        <v>21</v>
      </c>
      <c r="I4511" s="5" t="s">
        <v>11245</v>
      </c>
      <c r="J4511" s="12" t="str">
        <f>HYPERLINK("https://www.boe.es/gazeta/dias/1803/10/21/pdfs/GMD-1803-85.pdf#page=11","Abrir facsímil")</f>
        <v>Abrir facsímil</v>
      </c>
      <c r="K4511" s="15" t="s">
        <v>23</v>
      </c>
    </row>
    <row r="4512" spans="1:11" ht="42" customHeight="1">
      <c r="A4512" s="4" t="s">
        <v>11246</v>
      </c>
      <c r="B4512" s="5" t="s">
        <v>11247</v>
      </c>
      <c r="C4512" s="5" t="s">
        <v>18</v>
      </c>
      <c r="D4512" s="5" t="s">
        <v>19</v>
      </c>
      <c r="E4512" s="5" t="s">
        <v>910</v>
      </c>
      <c r="F4512" s="9">
        <v>66</v>
      </c>
      <c r="G4512" s="9">
        <v>719</v>
      </c>
      <c r="H4512" s="5" t="s">
        <v>21</v>
      </c>
      <c r="I4512" s="5" t="s">
        <v>11248</v>
      </c>
      <c r="J4512" s="12" t="str">
        <f>HYPERLINK("https://www.boe.es/gazeta/dias/1803/08/19/pdfs/GMD-1803-66.pdf#page=7","Abrir facsímil")</f>
        <v>Abrir facsímil</v>
      </c>
      <c r="K4512" s="15" t="s">
        <v>23</v>
      </c>
    </row>
    <row r="4513" spans="1:11" ht="42" customHeight="1">
      <c r="A4513" s="4" t="s">
        <v>11249</v>
      </c>
      <c r="B4513" s="5" t="s">
        <v>11249</v>
      </c>
      <c r="C4513" s="5" t="s">
        <v>40</v>
      </c>
      <c r="D4513" s="5" t="s">
        <v>41</v>
      </c>
      <c r="E4513" s="5" t="s">
        <v>726</v>
      </c>
      <c r="F4513" s="9">
        <v>78</v>
      </c>
      <c r="G4513" s="9">
        <v>841</v>
      </c>
      <c r="H4513" s="5" t="s">
        <v>21</v>
      </c>
      <c r="I4513" s="5" t="s">
        <v>11250</v>
      </c>
      <c r="J4513" s="12" t="str">
        <f>HYPERLINK("https://www.boe.es/gazeta/dias/1803/09/27/pdfs/GMD-1803-78.pdf#page=5","Abrir facsímil")</f>
        <v>Abrir facsímil</v>
      </c>
      <c r="K4513" s="15" t="s">
        <v>23</v>
      </c>
    </row>
    <row r="4514" spans="1:11" ht="42" customHeight="1">
      <c r="A4514" s="4" t="s">
        <v>11251</v>
      </c>
      <c r="B4514" s="5" t="s">
        <v>11251</v>
      </c>
      <c r="C4514" s="5" t="s">
        <v>40</v>
      </c>
      <c r="D4514" s="5" t="s">
        <v>41</v>
      </c>
      <c r="E4514" s="5" t="s">
        <v>882</v>
      </c>
      <c r="F4514" s="9">
        <v>60</v>
      </c>
      <c r="G4514" s="9">
        <v>651</v>
      </c>
      <c r="H4514" s="5" t="s">
        <v>21</v>
      </c>
      <c r="I4514" s="5" t="s">
        <v>11252</v>
      </c>
      <c r="J4514" s="12" t="str">
        <f>HYPERLINK("https://www.boe.es/gazeta/dias/1803/07/29/pdfs/GMD-1803-60.pdf#page=3","Abrir facsímil")</f>
        <v>Abrir facsímil</v>
      </c>
      <c r="K4514" s="15" t="s">
        <v>23</v>
      </c>
    </row>
    <row r="4515" spans="1:11" ht="42" customHeight="1">
      <c r="A4515" s="4" t="s">
        <v>11251</v>
      </c>
      <c r="B4515" s="5" t="s">
        <v>11251</v>
      </c>
      <c r="C4515" s="5" t="s">
        <v>26</v>
      </c>
      <c r="D4515" s="5" t="s">
        <v>27</v>
      </c>
      <c r="E4515" s="5" t="s">
        <v>480</v>
      </c>
      <c r="F4515" s="9">
        <v>87</v>
      </c>
      <c r="G4515" s="9">
        <v>940</v>
      </c>
      <c r="H4515" s="5" t="s">
        <v>21</v>
      </c>
      <c r="I4515" s="5" t="s">
        <v>11253</v>
      </c>
      <c r="J4515" s="12" t="str">
        <f>HYPERLINK("https://www.boe.es/gazeta/dias/1803/10/28/pdfs/GMD-1803-87.pdf#page=8","Abrir facsímil")</f>
        <v>Abrir facsímil</v>
      </c>
      <c r="K4515" s="15" t="s">
        <v>23</v>
      </c>
    </row>
    <row r="4516" spans="1:11" ht="42" customHeight="1">
      <c r="A4516" s="4" t="s">
        <v>11254</v>
      </c>
      <c r="B4516" s="5" t="s">
        <v>11255</v>
      </c>
      <c r="C4516" s="5" t="s">
        <v>26</v>
      </c>
      <c r="D4516" s="5" t="s">
        <v>27</v>
      </c>
      <c r="E4516" s="5" t="s">
        <v>289</v>
      </c>
      <c r="F4516" s="9">
        <v>38</v>
      </c>
      <c r="G4516" s="9">
        <v>401</v>
      </c>
      <c r="H4516" s="5" t="s">
        <v>21</v>
      </c>
      <c r="I4516" s="5" t="s">
        <v>11256</v>
      </c>
      <c r="J4516" s="12" t="str">
        <f>HYPERLINK("https://www.boe.es/gazeta/dias/1803/05/13/pdfs/GMD-1803-38.pdf#page=9","Abrir facsímil")</f>
        <v>Abrir facsímil</v>
      </c>
      <c r="K4516" s="15" t="s">
        <v>23</v>
      </c>
    </row>
    <row r="4517" spans="1:11" ht="42" customHeight="1">
      <c r="A4517" s="4" t="s">
        <v>11257</v>
      </c>
      <c r="B4517" s="5" t="s">
        <v>11258</v>
      </c>
      <c r="C4517" s="5" t="s">
        <v>18</v>
      </c>
      <c r="D4517" s="5" t="s">
        <v>19</v>
      </c>
      <c r="E4517" s="5" t="s">
        <v>395</v>
      </c>
      <c r="F4517" s="9">
        <v>13</v>
      </c>
      <c r="G4517" s="9">
        <v>133</v>
      </c>
      <c r="H4517" s="5" t="s">
        <v>21</v>
      </c>
      <c r="I4517" s="5" t="s">
        <v>11259</v>
      </c>
      <c r="J4517" s="12" t="str">
        <f>HYPERLINK("https://www.boe.es/gazeta/dias/1803/02/15/pdfs/GMD-1803-13.pdf#page=9","Abrir facsímil")</f>
        <v>Abrir facsímil</v>
      </c>
      <c r="K4517" s="15" t="s">
        <v>23</v>
      </c>
    </row>
    <row r="4518" spans="1:11" ht="42" customHeight="1">
      <c r="A4518" s="4" t="s">
        <v>11260</v>
      </c>
      <c r="B4518" s="5" t="s">
        <v>11261</v>
      </c>
      <c r="C4518" s="5" t="s">
        <v>51</v>
      </c>
      <c r="D4518" s="5" t="s">
        <v>52</v>
      </c>
      <c r="E4518" s="5" t="s">
        <v>300</v>
      </c>
      <c r="F4518" s="9">
        <v>96</v>
      </c>
      <c r="G4518" s="9">
        <v>1031</v>
      </c>
      <c r="H4518" s="5" t="s">
        <v>21</v>
      </c>
      <c r="I4518" s="5" t="s">
        <v>11262</v>
      </c>
      <c r="J4518" s="12" t="str">
        <f>HYPERLINK("https://www.boe.es/gazeta/dias/1803/11/29/pdfs/GMD-1803-96.pdf#page=7","Abrir facsímil")</f>
        <v>Abrir facsímil</v>
      </c>
      <c r="K4518" s="15" t="s">
        <v>23</v>
      </c>
    </row>
    <row r="4519" spans="1:11" ht="42" customHeight="1">
      <c r="A4519" s="4" t="s">
        <v>11263</v>
      </c>
      <c r="B4519" s="5" t="s">
        <v>11264</v>
      </c>
      <c r="C4519" s="5" t="s">
        <v>26</v>
      </c>
      <c r="D4519" s="5" t="s">
        <v>27</v>
      </c>
      <c r="E4519" s="5" t="s">
        <v>32</v>
      </c>
      <c r="F4519" s="9">
        <v>74</v>
      </c>
      <c r="G4519" s="9">
        <v>802</v>
      </c>
      <c r="H4519" s="5" t="s">
        <v>21</v>
      </c>
      <c r="I4519" s="5" t="s">
        <v>11265</v>
      </c>
      <c r="J4519" s="12" t="str">
        <f>HYPERLINK("https://www.boe.es/gazeta/dias/1803/09/13/pdfs/GMD-1803-74.pdf#page=6","Abrir facsímil")</f>
        <v>Abrir facsímil</v>
      </c>
      <c r="K4519" s="15" t="s">
        <v>23</v>
      </c>
    </row>
    <row r="4520" spans="1:11" ht="42" customHeight="1">
      <c r="A4520" s="4" t="s">
        <v>11266</v>
      </c>
      <c r="B4520" s="5" t="s">
        <v>11267</v>
      </c>
      <c r="C4520" s="5" t="s">
        <v>26</v>
      </c>
      <c r="D4520" s="5" t="s">
        <v>27</v>
      </c>
      <c r="E4520" s="5" t="s">
        <v>71</v>
      </c>
      <c r="F4520" s="9">
        <v>39</v>
      </c>
      <c r="G4520" s="9">
        <v>413</v>
      </c>
      <c r="H4520" s="5" t="s">
        <v>21</v>
      </c>
      <c r="I4520" s="5" t="s">
        <v>11268</v>
      </c>
      <c r="J4520" s="12" t="str">
        <f>HYPERLINK("https://www.boe.es/gazeta/dias/1803/05/17/pdfs/GMD-1803-39.pdf#page=9","Abrir facsímil")</f>
        <v>Abrir facsímil</v>
      </c>
      <c r="K4520" s="15" t="s">
        <v>23</v>
      </c>
    </row>
    <row r="4521" spans="1:11" ht="42" customHeight="1">
      <c r="A4521" s="4" t="s">
        <v>11266</v>
      </c>
      <c r="B4521" s="5" t="s">
        <v>11267</v>
      </c>
      <c r="C4521" s="5" t="s">
        <v>26</v>
      </c>
      <c r="D4521" s="5" t="s">
        <v>27</v>
      </c>
      <c r="E4521" s="5" t="s">
        <v>514</v>
      </c>
      <c r="F4521" s="9">
        <v>42</v>
      </c>
      <c r="G4521" s="9">
        <v>439</v>
      </c>
      <c r="H4521" s="5" t="s">
        <v>21</v>
      </c>
      <c r="I4521" s="5" t="s">
        <v>11269</v>
      </c>
      <c r="J4521" s="12" t="str">
        <f>HYPERLINK("https://www.boe.es/gazeta/dias/1803/05/27/pdfs/GMD-1803-42.pdf#page=7","Abrir facsímil")</f>
        <v>Abrir facsímil</v>
      </c>
      <c r="K4521" s="15" t="s">
        <v>23</v>
      </c>
    </row>
    <row r="4522" spans="1:11" ht="42" customHeight="1">
      <c r="A4522" s="4" t="s">
        <v>11270</v>
      </c>
      <c r="B4522" s="5" t="s">
        <v>11271</v>
      </c>
      <c r="C4522" s="5" t="s">
        <v>26</v>
      </c>
      <c r="D4522" s="5" t="s">
        <v>27</v>
      </c>
      <c r="E4522" s="5" t="s">
        <v>882</v>
      </c>
      <c r="F4522" s="9">
        <v>60</v>
      </c>
      <c r="G4522" s="9">
        <v>656</v>
      </c>
      <c r="H4522" s="5" t="s">
        <v>21</v>
      </c>
      <c r="I4522" s="5" t="s">
        <v>11272</v>
      </c>
      <c r="J4522" s="12" t="str">
        <f>HYPERLINK("https://www.boe.es/gazeta/dias/1803/07/29/pdfs/GMD-1803-60.pdf#page=8","Abrir facsímil")</f>
        <v>Abrir facsímil</v>
      </c>
      <c r="K4522" s="15" t="s">
        <v>23</v>
      </c>
    </row>
    <row r="4523" spans="1:11" ht="42" customHeight="1">
      <c r="A4523" s="4" t="s">
        <v>11273</v>
      </c>
      <c r="B4523" s="5" t="s">
        <v>11274</v>
      </c>
      <c r="C4523" s="5" t="s">
        <v>225</v>
      </c>
      <c r="D4523" s="5" t="s">
        <v>226</v>
      </c>
      <c r="E4523" s="5" t="s">
        <v>191</v>
      </c>
      <c r="F4523" s="9">
        <v>34</v>
      </c>
      <c r="G4523" s="9" t="s">
        <v>2434</v>
      </c>
      <c r="H4523" s="5" t="s">
        <v>21</v>
      </c>
      <c r="I4523" s="5" t="s">
        <v>11275</v>
      </c>
      <c r="J4523" s="12" t="str">
        <f>HYPERLINK("https://www.boe.es/gazeta/dias/1803/04/29/pdfs/GMD-C-1803-34.pdf#page=11","Abrir facsímil")</f>
        <v>Abrir facsímil</v>
      </c>
      <c r="K4523" s="15" t="s">
        <v>23</v>
      </c>
    </row>
    <row r="4524" spans="1:11" ht="42" customHeight="1">
      <c r="A4524" s="4" t="s">
        <v>11276</v>
      </c>
      <c r="B4524" s="5" t="s">
        <v>11277</v>
      </c>
      <c r="C4524" s="5" t="s">
        <v>26</v>
      </c>
      <c r="D4524" s="5" t="s">
        <v>27</v>
      </c>
      <c r="E4524" s="5" t="s">
        <v>328</v>
      </c>
      <c r="F4524" s="9">
        <v>54</v>
      </c>
      <c r="G4524" s="9">
        <v>590</v>
      </c>
      <c r="H4524" s="5" t="s">
        <v>21</v>
      </c>
      <c r="I4524" s="5" t="s">
        <v>11278</v>
      </c>
      <c r="J4524" s="12" t="str">
        <f>HYPERLINK("https://www.boe.es/gazeta/dias/1803/07/08/pdfs/GMD-1803-54.pdf#page=10","Abrir facsímil")</f>
        <v>Abrir facsímil</v>
      </c>
      <c r="K4524" s="15" t="s">
        <v>23</v>
      </c>
    </row>
    <row r="4525" spans="1:11" ht="42" customHeight="1">
      <c r="A4525" s="4" t="s">
        <v>11279</v>
      </c>
      <c r="B4525" s="5" t="s">
        <v>11280</v>
      </c>
      <c r="C4525" s="5" t="s">
        <v>26</v>
      </c>
      <c r="D4525" s="5" t="s">
        <v>27</v>
      </c>
      <c r="E4525" s="5" t="s">
        <v>332</v>
      </c>
      <c r="F4525" s="9">
        <v>11</v>
      </c>
      <c r="G4525" s="9">
        <v>110</v>
      </c>
      <c r="H4525" s="5" t="s">
        <v>21</v>
      </c>
      <c r="I4525" s="5" t="s">
        <v>11281</v>
      </c>
      <c r="J4525" s="12" t="str">
        <f>HYPERLINK("https://www.boe.es/gazeta/dias/1803/02/08/pdfs/GMD-1803-11.pdf#page=6","Abrir facsímil")</f>
        <v>Abrir facsímil</v>
      </c>
      <c r="K4525" s="15" t="s">
        <v>23</v>
      </c>
    </row>
    <row r="4526" spans="1:11" ht="42" customHeight="1">
      <c r="A4526" s="4" t="s">
        <v>11282</v>
      </c>
      <c r="B4526" s="5" t="s">
        <v>11283</v>
      </c>
      <c r="C4526" s="5" t="s">
        <v>26</v>
      </c>
      <c r="D4526" s="5" t="s">
        <v>27</v>
      </c>
      <c r="E4526" s="5" t="s">
        <v>36</v>
      </c>
      <c r="F4526" s="9">
        <v>79</v>
      </c>
      <c r="G4526" s="9">
        <v>854</v>
      </c>
      <c r="H4526" s="5" t="s">
        <v>21</v>
      </c>
      <c r="I4526" s="5" t="s">
        <v>11284</v>
      </c>
      <c r="J4526" s="12" t="str">
        <f>HYPERLINK("https://www.boe.es/gazeta/dias/1803/09/30/pdfs/GMD-1803-79.pdf#page=6","Abrir facsímil")</f>
        <v>Abrir facsímil</v>
      </c>
      <c r="K4526" s="15" t="s">
        <v>23</v>
      </c>
    </row>
    <row r="4527" spans="1:11" ht="42" customHeight="1">
      <c r="A4527" s="4" t="s">
        <v>11285</v>
      </c>
      <c r="B4527" s="5" t="s">
        <v>11286</v>
      </c>
      <c r="C4527" s="5" t="s">
        <v>51</v>
      </c>
      <c r="D4527" s="5" t="s">
        <v>52</v>
      </c>
      <c r="E4527" s="5" t="s">
        <v>882</v>
      </c>
      <c r="F4527" s="9">
        <v>60</v>
      </c>
      <c r="G4527" s="9">
        <v>657</v>
      </c>
      <c r="H4527" s="5" t="s">
        <v>21</v>
      </c>
      <c r="I4527" s="5" t="s">
        <v>11287</v>
      </c>
      <c r="J4527" s="12" t="str">
        <f>HYPERLINK("https://www.boe.es/gazeta/dias/1803/07/29/pdfs/GMD-1803-60.pdf#page=9","Abrir facsímil")</f>
        <v>Abrir facsímil</v>
      </c>
      <c r="K4527" s="15" t="s">
        <v>23</v>
      </c>
    </row>
    <row r="4528" spans="1:11" ht="42" customHeight="1">
      <c r="A4528" s="4" t="s">
        <v>11288</v>
      </c>
      <c r="B4528" s="5" t="s">
        <v>11289</v>
      </c>
      <c r="C4528" s="5" t="s">
        <v>26</v>
      </c>
      <c r="D4528" s="5" t="s">
        <v>27</v>
      </c>
      <c r="E4528" s="5" t="s">
        <v>300</v>
      </c>
      <c r="F4528" s="9">
        <v>96</v>
      </c>
      <c r="G4528" s="9">
        <v>1034</v>
      </c>
      <c r="H4528" s="5" t="s">
        <v>21</v>
      </c>
      <c r="I4528" s="5" t="s">
        <v>11290</v>
      </c>
      <c r="J4528" s="12" t="str">
        <f>HYPERLINK("https://www.boe.es/gazeta/dias/1803/11/29/pdfs/GMD-1803-96.pdf#page=10","Abrir facsímil")</f>
        <v>Abrir facsímil</v>
      </c>
      <c r="K4528" s="15" t="s">
        <v>23</v>
      </c>
    </row>
    <row r="4529" spans="1:11" ht="42" customHeight="1">
      <c r="A4529" s="4" t="s">
        <v>11291</v>
      </c>
      <c r="B4529" s="5" t="s">
        <v>11292</v>
      </c>
      <c r="C4529" s="5" t="s">
        <v>26</v>
      </c>
      <c r="D4529" s="5" t="s">
        <v>27</v>
      </c>
      <c r="E4529" s="5" t="s">
        <v>148</v>
      </c>
      <c r="F4529" s="9">
        <v>15</v>
      </c>
      <c r="G4529" s="9">
        <v>158</v>
      </c>
      <c r="H4529" s="5" t="s">
        <v>21</v>
      </c>
      <c r="I4529" s="5" t="s">
        <v>11293</v>
      </c>
      <c r="J4529" s="12" t="str">
        <f>HYPERLINK("https://www.boe.es/gazeta/dias/1803/02/22/pdfs/GMD-1803-15.pdf#page=10","Abrir facsímil")</f>
        <v>Abrir facsímil</v>
      </c>
      <c r="K4529" s="15" t="s">
        <v>23</v>
      </c>
    </row>
    <row r="4530" spans="1:11" ht="42" customHeight="1">
      <c r="A4530" s="4" t="s">
        <v>11294</v>
      </c>
      <c r="B4530" s="5" t="s">
        <v>11295</v>
      </c>
      <c r="C4530" s="5" t="s">
        <v>26</v>
      </c>
      <c r="D4530" s="5" t="s">
        <v>27</v>
      </c>
      <c r="E4530" s="5" t="s">
        <v>231</v>
      </c>
      <c r="F4530" s="9">
        <v>26</v>
      </c>
      <c r="G4530" s="9">
        <v>281</v>
      </c>
      <c r="H4530" s="5" t="s">
        <v>21</v>
      </c>
      <c r="I4530" s="5" t="s">
        <v>11296</v>
      </c>
      <c r="J4530" s="12" t="str">
        <f>HYPERLINK("https://www.boe.es/gazeta/dias/1803/04/01/pdfs/GMD-1803-26.pdf#page=9","Abrir facsímil")</f>
        <v>Abrir facsímil</v>
      </c>
      <c r="K4530" s="15" t="s">
        <v>23</v>
      </c>
    </row>
    <row r="4531" spans="1:11" ht="42" customHeight="1">
      <c r="A4531" s="4" t="s">
        <v>11297</v>
      </c>
      <c r="B4531" s="5" t="s">
        <v>11298</v>
      </c>
      <c r="C4531" s="5" t="s">
        <v>26</v>
      </c>
      <c r="D4531" s="5" t="s">
        <v>27</v>
      </c>
      <c r="E4531" s="5" t="s">
        <v>919</v>
      </c>
      <c r="F4531" s="9">
        <v>69</v>
      </c>
      <c r="G4531" s="9">
        <v>749</v>
      </c>
      <c r="H4531" s="5" t="s">
        <v>21</v>
      </c>
      <c r="I4531" s="5" t="s">
        <v>11299</v>
      </c>
      <c r="J4531" s="12" t="str">
        <f>HYPERLINK("https://www.boe.es/gazeta/dias/1803/08/30/pdfs/GMD-1803-69.pdf#page=5","Abrir facsímil")</f>
        <v>Abrir facsímil</v>
      </c>
      <c r="K4531" s="15" t="s">
        <v>23</v>
      </c>
    </row>
    <row r="4532" spans="1:11" ht="42" customHeight="1">
      <c r="A4532" s="4" t="s">
        <v>11300</v>
      </c>
      <c r="B4532" s="5" t="s">
        <v>11301</v>
      </c>
      <c r="C4532" s="5" t="s">
        <v>26</v>
      </c>
      <c r="D4532" s="5" t="s">
        <v>27</v>
      </c>
      <c r="E4532" s="5" t="s">
        <v>309</v>
      </c>
      <c r="F4532" s="9">
        <v>37</v>
      </c>
      <c r="G4532" s="9">
        <v>384</v>
      </c>
      <c r="H4532" s="5" t="s">
        <v>21</v>
      </c>
      <c r="I4532" s="5" t="s">
        <v>11302</v>
      </c>
      <c r="J4532" s="12" t="str">
        <f>HYPERLINK("https://www.boe.es/gazeta/dias/1803/05/10/pdfs/GMD-1803-37.pdf#page=8","Abrir facsímil")</f>
        <v>Abrir facsímil</v>
      </c>
      <c r="K4532" s="15" t="s">
        <v>23</v>
      </c>
    </row>
    <row r="4533" spans="1:11" ht="42" customHeight="1">
      <c r="A4533" s="6" t="s">
        <v>11303</v>
      </c>
      <c r="B4533" s="7" t="s">
        <v>11304</v>
      </c>
      <c r="C4533" s="7" t="s">
        <v>26</v>
      </c>
      <c r="D4533" s="7" t="s">
        <v>27</v>
      </c>
      <c r="E4533" s="7" t="s">
        <v>336</v>
      </c>
      <c r="F4533" s="10">
        <v>105</v>
      </c>
      <c r="G4533" s="10">
        <v>1121</v>
      </c>
      <c r="H4533" s="7" t="s">
        <v>21</v>
      </c>
      <c r="I4533" s="7" t="s">
        <v>11305</v>
      </c>
      <c r="J4533" s="13" t="str">
        <f>HYPERLINK("https://www.boe.es/gazeta/dias/1803/12/30/pdfs/GMD-1803-105.pdf#page=5","Abrir facsímil")</f>
        <v>Abrir facsímil</v>
      </c>
      <c r="K4533" s="16" t="s">
        <v>23</v>
      </c>
    </row>
  </sheetData>
  <mergeCells count="5">
    <mergeCell ref="A1:K1"/>
    <mergeCell ref="A2:K2"/>
    <mergeCell ref="A3:C3"/>
    <mergeCell ref="D3:K3"/>
    <mergeCell ref="A4:K4"/>
  </mergeCells>
  <conditionalFormatting sqref="K7:K4533">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37"/>
  <sheetViews>
    <sheetView showGridLines="0" workbookViewId="0">
      <pane ySplit="3" topLeftCell="A4" activePane="bottomLeft" state="frozen"/>
      <selection pane="bottomLeft"/>
    </sheetView>
  </sheetViews>
  <sheetFormatPr baseColWidth="10" defaultColWidth="9" defaultRowHeight="14.25"/>
  <cols>
    <col min="1" max="1" width="18" customWidth="1"/>
    <col min="2" max="2" width="28" customWidth="1"/>
    <col min="3" max="3" width="26" customWidth="1"/>
    <col min="4" max="4" width="13" customWidth="1"/>
    <col min="5" max="5" width="22" customWidth="1"/>
  </cols>
  <sheetData>
    <row r="1" spans="1:5" ht="32.1" customHeight="1">
      <c r="A1" s="30" t="s">
        <v>11306</v>
      </c>
      <c r="B1" s="30"/>
      <c r="C1" s="30"/>
      <c r="D1" s="30"/>
      <c r="E1" s="30"/>
    </row>
    <row r="3" spans="1:5">
      <c r="A3" s="1" t="s">
        <v>10</v>
      </c>
      <c r="B3" s="1" t="s">
        <v>9</v>
      </c>
      <c r="C3" s="1" t="s">
        <v>11307</v>
      </c>
      <c r="D3" s="1" t="s">
        <v>11308</v>
      </c>
      <c r="E3" s="1" t="s">
        <v>11309</v>
      </c>
    </row>
    <row r="4" spans="1:5">
      <c r="A4" s="20">
        <v>1</v>
      </c>
      <c r="B4" s="17" t="s">
        <v>256</v>
      </c>
      <c r="C4" s="23" t="s">
        <v>11310</v>
      </c>
      <c r="D4" s="23">
        <v>23</v>
      </c>
      <c r="E4" s="26" t="str">
        <f>HYPERLINK("https://www.boe.es/gazeta/dias/1803/01/04/pdfs/GMD-1803-1.pdf","Abrir fascículo")</f>
        <v>Abrir fascículo</v>
      </c>
    </row>
    <row r="5" spans="1:5">
      <c r="A5" s="21">
        <v>2</v>
      </c>
      <c r="B5" s="18" t="s">
        <v>156</v>
      </c>
      <c r="C5" s="24" t="s">
        <v>11311</v>
      </c>
      <c r="D5" s="24">
        <v>38</v>
      </c>
      <c r="E5" s="27" t="str">
        <f>HYPERLINK("https://www.boe.es/gazeta/dias/1803/01/07/pdfs/GMD-1803-2.pdf","Abrir fascículo")</f>
        <v>Abrir fascículo</v>
      </c>
    </row>
    <row r="6" spans="1:5">
      <c r="A6" s="21">
        <v>3</v>
      </c>
      <c r="B6" s="18" t="s">
        <v>1279</v>
      </c>
      <c r="C6" s="24" t="s">
        <v>11312</v>
      </c>
      <c r="D6" s="24">
        <v>28</v>
      </c>
      <c r="E6" s="27" t="str">
        <f>HYPERLINK("https://www.boe.es/gazeta/dias/1803/01/11/pdfs/GMD-1803-3.pdf","Abrir fascículo")</f>
        <v>Abrir fascículo</v>
      </c>
    </row>
    <row r="7" spans="1:5">
      <c r="A7" s="21">
        <v>4</v>
      </c>
      <c r="B7" s="18" t="s">
        <v>250</v>
      </c>
      <c r="C7" s="24" t="s">
        <v>11313</v>
      </c>
      <c r="D7" s="24">
        <v>23</v>
      </c>
      <c r="E7" s="27" t="str">
        <f>HYPERLINK("https://www.boe.es/gazeta/dias/1803/01/14/pdfs/GMD-1803-4.pdf","Abrir fascículo")</f>
        <v>Abrir fascículo</v>
      </c>
    </row>
    <row r="8" spans="1:5">
      <c r="A8" s="21">
        <v>5</v>
      </c>
      <c r="B8" s="18" t="s">
        <v>285</v>
      </c>
      <c r="C8" s="24" t="s">
        <v>11314</v>
      </c>
      <c r="D8" s="24">
        <v>46</v>
      </c>
      <c r="E8" s="27" t="str">
        <f>HYPERLINK("https://www.boe.es/gazeta/dias/1803/01/18/pdfs/GMD-1803-5.pdf","Abrir fascículo")</f>
        <v>Abrir fascículo</v>
      </c>
    </row>
    <row r="9" spans="1:5">
      <c r="A9" s="21">
        <v>6</v>
      </c>
      <c r="B9" s="18" t="s">
        <v>509</v>
      </c>
      <c r="C9" s="24" t="s">
        <v>11315</v>
      </c>
      <c r="D9" s="24">
        <v>30</v>
      </c>
      <c r="E9" s="27" t="str">
        <f>HYPERLINK("https://www.boe.es/gazeta/dias/1803/01/21/pdfs/GMD-1803-6.pdf","Abrir fascículo")</f>
        <v>Abrir fascículo</v>
      </c>
    </row>
    <row r="10" spans="1:5">
      <c r="A10" s="21" t="s">
        <v>11316</v>
      </c>
      <c r="B10" s="18" t="s">
        <v>509</v>
      </c>
      <c r="C10" s="24" t="s">
        <v>11317</v>
      </c>
      <c r="D10" s="24">
        <v>0</v>
      </c>
      <c r="E10" s="27" t="str">
        <f>HYPERLINK("https://www.boe.es/gazeta/dias/1803/01/21/pdfs/GMD-C-1803-6.pdf","Abrir suplemento")</f>
        <v>Abrir suplemento</v>
      </c>
    </row>
    <row r="11" spans="1:5">
      <c r="A11" s="21">
        <v>7</v>
      </c>
      <c r="B11" s="18" t="s">
        <v>258</v>
      </c>
      <c r="C11" s="24" t="s">
        <v>11318</v>
      </c>
      <c r="D11" s="24">
        <v>43</v>
      </c>
      <c r="E11" s="27" t="str">
        <f>HYPERLINK("https://www.boe.es/gazeta/dias/1803/01/25/pdfs/GMD-1803-7.pdf","Abrir fascículo")</f>
        <v>Abrir fascículo</v>
      </c>
    </row>
    <row r="12" spans="1:5">
      <c r="A12" s="21">
        <v>8</v>
      </c>
      <c r="B12" s="18" t="s">
        <v>303</v>
      </c>
      <c r="C12" s="24" t="s">
        <v>11319</v>
      </c>
      <c r="D12" s="24">
        <v>37</v>
      </c>
      <c r="E12" s="27" t="str">
        <f>HYPERLINK("https://www.boe.es/gazeta/dias/1803/01/28/pdfs/GMD-1803-8.pdf","Abrir fascículo")</f>
        <v>Abrir fascículo</v>
      </c>
    </row>
    <row r="13" spans="1:5">
      <c r="A13" s="21" t="s">
        <v>11320</v>
      </c>
      <c r="B13" s="18" t="s">
        <v>303</v>
      </c>
      <c r="C13" s="24" t="s">
        <v>11321</v>
      </c>
      <c r="D13" s="24">
        <v>2</v>
      </c>
      <c r="E13" s="27" t="str">
        <f>HYPERLINK("https://www.boe.es/gazeta/dias/1803/01/28/pdfs/GMD-C-1803-8.pdf","Abrir suplemento")</f>
        <v>Abrir suplemento</v>
      </c>
    </row>
    <row r="14" spans="1:5">
      <c r="A14" s="21">
        <v>9</v>
      </c>
      <c r="B14" s="18" t="s">
        <v>189</v>
      </c>
      <c r="C14" s="24" t="s">
        <v>11322</v>
      </c>
      <c r="D14" s="24">
        <v>59</v>
      </c>
      <c r="E14" s="27" t="str">
        <f>HYPERLINK("https://www.boe.es/gazeta/dias/1803/02/01/pdfs/GMD-1803-9.pdf","Abrir fascículo")</f>
        <v>Abrir fascículo</v>
      </c>
    </row>
    <row r="15" spans="1:5">
      <c r="A15" s="21">
        <v>10</v>
      </c>
      <c r="B15" s="18" t="s">
        <v>42</v>
      </c>
      <c r="C15" s="24" t="s">
        <v>11323</v>
      </c>
      <c r="D15" s="24">
        <v>19</v>
      </c>
      <c r="E15" s="27" t="str">
        <f>HYPERLINK("https://www.boe.es/gazeta/dias/1803/02/04/pdfs/GMD-1803-10.pdf","Abrir fascículo")</f>
        <v>Abrir fascículo</v>
      </c>
    </row>
    <row r="16" spans="1:5">
      <c r="A16" s="21">
        <v>11</v>
      </c>
      <c r="B16" s="18" t="s">
        <v>332</v>
      </c>
      <c r="C16" s="24" t="s">
        <v>11324</v>
      </c>
      <c r="D16" s="24">
        <v>22</v>
      </c>
      <c r="E16" s="27" t="str">
        <f>HYPERLINK("https://www.boe.es/gazeta/dias/1803/02/08/pdfs/GMD-1803-11.pdf","Abrir fascículo")</f>
        <v>Abrir fascículo</v>
      </c>
    </row>
    <row r="17" spans="1:5">
      <c r="A17" s="21">
        <v>12</v>
      </c>
      <c r="B17" s="18" t="s">
        <v>317</v>
      </c>
      <c r="C17" s="24" t="s">
        <v>11325</v>
      </c>
      <c r="D17" s="24">
        <v>34</v>
      </c>
      <c r="E17" s="27" t="str">
        <f>HYPERLINK("https://www.boe.es/gazeta/dias/1803/02/11/pdfs/GMD-1803-12.pdf","Abrir fascículo")</f>
        <v>Abrir fascículo</v>
      </c>
    </row>
    <row r="18" spans="1:5">
      <c r="A18" s="21">
        <v>13</v>
      </c>
      <c r="B18" s="18" t="s">
        <v>395</v>
      </c>
      <c r="C18" s="24" t="s">
        <v>11326</v>
      </c>
      <c r="D18" s="24">
        <v>56</v>
      </c>
      <c r="E18" s="27" t="str">
        <f>HYPERLINK("https://www.boe.es/gazeta/dias/1803/02/15/pdfs/GMD-1803-13.pdf","Abrir fascículo")</f>
        <v>Abrir fascículo</v>
      </c>
    </row>
    <row r="19" spans="1:5">
      <c r="A19" s="21">
        <v>14</v>
      </c>
      <c r="B19" s="18" t="s">
        <v>313</v>
      </c>
      <c r="C19" s="24" t="s">
        <v>11327</v>
      </c>
      <c r="D19" s="24">
        <v>25</v>
      </c>
      <c r="E19" s="27" t="str">
        <f>HYPERLINK("https://www.boe.es/gazeta/dias/1803/02/18/pdfs/GMD-1803-14.pdf","Abrir fascículo")</f>
        <v>Abrir fascículo</v>
      </c>
    </row>
    <row r="20" spans="1:5">
      <c r="A20" s="21" t="s">
        <v>11328</v>
      </c>
      <c r="B20" s="18" t="s">
        <v>313</v>
      </c>
      <c r="C20" s="24" t="s">
        <v>11329</v>
      </c>
      <c r="D20" s="24">
        <v>0</v>
      </c>
      <c r="E20" s="27" t="str">
        <f>HYPERLINK("https://www.boe.es/gazeta/dias/1803/02/18/pdfs/GMD-C-1803-14.pdf","Abrir suplemento")</f>
        <v>Abrir suplemento</v>
      </c>
    </row>
    <row r="21" spans="1:5">
      <c r="A21" s="21">
        <v>15</v>
      </c>
      <c r="B21" s="18" t="s">
        <v>148</v>
      </c>
      <c r="C21" s="24" t="s">
        <v>11330</v>
      </c>
      <c r="D21" s="24">
        <v>80</v>
      </c>
      <c r="E21" s="27" t="str">
        <f>HYPERLINK("https://www.boe.es/gazeta/dias/1803/02/22/pdfs/GMD-1803-15.pdf","Abrir fascículo")</f>
        <v>Abrir fascículo</v>
      </c>
    </row>
    <row r="22" spans="1:5">
      <c r="A22" s="21">
        <v>16</v>
      </c>
      <c r="B22" s="18" t="s">
        <v>152</v>
      </c>
      <c r="C22" s="24" t="s">
        <v>11331</v>
      </c>
      <c r="D22" s="24">
        <v>43</v>
      </c>
      <c r="E22" s="27" t="str">
        <f>HYPERLINK("https://www.boe.es/gazeta/dias/1803/02/25/pdfs/GMD-1803-16.pdf","Abrir fascículo")</f>
        <v>Abrir fascículo</v>
      </c>
    </row>
    <row r="23" spans="1:5">
      <c r="A23" s="21">
        <v>17</v>
      </c>
      <c r="B23" s="18" t="s">
        <v>214</v>
      </c>
      <c r="C23" s="24" t="s">
        <v>11332</v>
      </c>
      <c r="D23" s="24">
        <v>31</v>
      </c>
      <c r="E23" s="27" t="str">
        <f>HYPERLINK("https://www.boe.es/gazeta/dias/1803/03/01/pdfs/GMD-1803-17.pdf","Abrir fascículo")</f>
        <v>Abrir fascículo</v>
      </c>
    </row>
    <row r="24" spans="1:5">
      <c r="A24" s="21">
        <v>18</v>
      </c>
      <c r="B24" s="18" t="s">
        <v>88</v>
      </c>
      <c r="C24" s="24" t="s">
        <v>11333</v>
      </c>
      <c r="D24" s="24">
        <v>61</v>
      </c>
      <c r="E24" s="27" t="str">
        <f>HYPERLINK("https://www.boe.es/gazeta/dias/1803/03/04/pdfs/GMD-1803-18.pdf","Abrir fascículo")</f>
        <v>Abrir fascículo</v>
      </c>
    </row>
    <row r="25" spans="1:5">
      <c r="A25" s="21">
        <v>19</v>
      </c>
      <c r="B25" s="18" t="s">
        <v>218</v>
      </c>
      <c r="C25" s="24" t="s">
        <v>11334</v>
      </c>
      <c r="D25" s="24">
        <v>54</v>
      </c>
      <c r="E25" s="27" t="str">
        <f>HYPERLINK("https://www.boe.es/gazeta/dias/1803/03/08/pdfs/GMD-1803-19.pdf","Abrir fascículo")</f>
        <v>Abrir fascículo</v>
      </c>
    </row>
    <row r="26" spans="1:5">
      <c r="A26" s="21">
        <v>20</v>
      </c>
      <c r="B26" s="18" t="s">
        <v>124</v>
      </c>
      <c r="C26" s="24" t="s">
        <v>11335</v>
      </c>
      <c r="D26" s="24">
        <v>49</v>
      </c>
      <c r="E26" s="27" t="str">
        <f>HYPERLINK("https://www.boe.es/gazeta/dias/1803/03/11/pdfs/GMD-1803-20.pdf","Abrir fascículo")</f>
        <v>Abrir fascículo</v>
      </c>
    </row>
    <row r="27" spans="1:5">
      <c r="A27" s="21" t="s">
        <v>11336</v>
      </c>
      <c r="B27" s="18" t="s">
        <v>124</v>
      </c>
      <c r="C27" s="24" t="s">
        <v>11337</v>
      </c>
      <c r="D27" s="24">
        <v>0</v>
      </c>
      <c r="E27" s="27" t="str">
        <f>HYPERLINK("https://www.boe.es/gazeta/dias/1803/03/11/pdfs/GMD-C-1803-20.pdf","Abrir suplemento")</f>
        <v>Abrir suplemento</v>
      </c>
    </row>
    <row r="28" spans="1:5">
      <c r="A28" s="21">
        <v>21</v>
      </c>
      <c r="B28" s="18" t="s">
        <v>174</v>
      </c>
      <c r="C28" s="24" t="s">
        <v>11338</v>
      </c>
      <c r="D28" s="24">
        <v>68</v>
      </c>
      <c r="E28" s="27" t="str">
        <f>HYPERLINK("https://www.boe.es/gazeta/dias/1803/03/15/pdfs/GMD-1803-21.pdf","Abrir fascículo")</f>
        <v>Abrir fascículo</v>
      </c>
    </row>
    <row r="29" spans="1:5">
      <c r="A29" s="21">
        <v>22</v>
      </c>
      <c r="B29" s="18" t="s">
        <v>501</v>
      </c>
      <c r="C29" s="24" t="s">
        <v>11339</v>
      </c>
      <c r="D29" s="24">
        <v>67</v>
      </c>
      <c r="E29" s="27" t="str">
        <f>HYPERLINK("https://www.boe.es/gazeta/dias/1803/03/18/pdfs/GMD-1803-22.pdf","Abrir fascículo")</f>
        <v>Abrir fascículo</v>
      </c>
    </row>
    <row r="30" spans="1:5">
      <c r="A30" s="21">
        <v>23</v>
      </c>
      <c r="B30" s="18" t="s">
        <v>68</v>
      </c>
      <c r="C30" s="24" t="s">
        <v>11340</v>
      </c>
      <c r="D30" s="24">
        <v>34</v>
      </c>
      <c r="E30" s="27" t="str">
        <f>HYPERLINK("https://www.boe.es/gazeta/dias/1803/03/22/pdfs/GMD-1803-23.pdf","Abrir fascículo")</f>
        <v>Abrir fascículo</v>
      </c>
    </row>
    <row r="31" spans="1:5">
      <c r="A31" s="21">
        <v>24</v>
      </c>
      <c r="B31" s="18" t="s">
        <v>657</v>
      </c>
      <c r="C31" s="24" t="s">
        <v>11341</v>
      </c>
      <c r="D31" s="24">
        <v>70</v>
      </c>
      <c r="E31" s="27" t="str">
        <f>HYPERLINK("https://www.boe.es/gazeta/dias/1803/03/25/pdfs/GMD-1803-24.pdf","Abrir fascículo")</f>
        <v>Abrir fascículo</v>
      </c>
    </row>
    <row r="32" spans="1:5">
      <c r="A32" s="21">
        <v>25</v>
      </c>
      <c r="B32" s="18" t="s">
        <v>272</v>
      </c>
      <c r="C32" s="24" t="s">
        <v>11342</v>
      </c>
      <c r="D32" s="24">
        <v>44</v>
      </c>
      <c r="E32" s="27" t="str">
        <f>HYPERLINK("https://www.boe.es/gazeta/dias/1803/03/29/pdfs/GMD-1803-25.pdf","Abrir fascículo")</f>
        <v>Abrir fascículo</v>
      </c>
    </row>
    <row r="33" spans="1:5">
      <c r="A33" s="21" t="s">
        <v>11343</v>
      </c>
      <c r="B33" s="18" t="s">
        <v>272</v>
      </c>
      <c r="C33" s="24" t="s">
        <v>11344</v>
      </c>
      <c r="D33" s="24">
        <v>0</v>
      </c>
      <c r="E33" s="27" t="str">
        <f>HYPERLINK("https://www.boe.es/gazeta/dias/1803/03/29/pdfs/GMD-C-1803-25.pdf","Abrir suplemento")</f>
        <v>Abrir suplemento</v>
      </c>
    </row>
    <row r="34" spans="1:5">
      <c r="A34" s="21">
        <v>26</v>
      </c>
      <c r="B34" s="18" t="s">
        <v>231</v>
      </c>
      <c r="C34" s="24" t="s">
        <v>11345</v>
      </c>
      <c r="D34" s="24">
        <v>47</v>
      </c>
      <c r="E34" s="27" t="str">
        <f>HYPERLINK("https://www.boe.es/gazeta/dias/1803/04/01/pdfs/GMD-1803-26.pdf","Abrir fascículo")</f>
        <v>Abrir fascículo</v>
      </c>
    </row>
    <row r="35" spans="1:5">
      <c r="A35" s="21">
        <v>27</v>
      </c>
      <c r="B35" s="18" t="s">
        <v>207</v>
      </c>
      <c r="C35" s="24" t="s">
        <v>11346</v>
      </c>
      <c r="D35" s="24">
        <v>70</v>
      </c>
      <c r="E35" s="27" t="str">
        <f>HYPERLINK("https://www.boe.es/gazeta/dias/1803/04/05/pdfs/GMD-1803-27.pdf","Abrir fascículo")</f>
        <v>Abrir fascículo</v>
      </c>
    </row>
    <row r="36" spans="1:5">
      <c r="A36" s="21">
        <v>28</v>
      </c>
      <c r="B36" s="18" t="s">
        <v>83</v>
      </c>
      <c r="C36" s="24" t="s">
        <v>11347</v>
      </c>
      <c r="D36" s="24">
        <v>54</v>
      </c>
      <c r="E36" s="27" t="str">
        <f>HYPERLINK("https://www.boe.es/gazeta/dias/1803/04/08/pdfs/GMD-1803-28.pdf","Abrir fascículo")</f>
        <v>Abrir fascículo</v>
      </c>
    </row>
    <row r="37" spans="1:5">
      <c r="A37" s="21">
        <v>29</v>
      </c>
      <c r="B37" s="18" t="s">
        <v>99</v>
      </c>
      <c r="C37" s="24" t="s">
        <v>11348</v>
      </c>
      <c r="D37" s="24">
        <v>14</v>
      </c>
      <c r="E37" s="27" t="str">
        <f>HYPERLINK("https://www.boe.es/gazeta/dias/1803/04/12/pdfs/GMD-1803-29.pdf","Abrir fascículo")</f>
        <v>Abrir fascículo</v>
      </c>
    </row>
    <row r="38" spans="1:5">
      <c r="A38" s="21">
        <v>30</v>
      </c>
      <c r="B38" s="18" t="s">
        <v>752</v>
      </c>
      <c r="C38" s="24" t="s">
        <v>11349</v>
      </c>
      <c r="D38" s="24">
        <v>24</v>
      </c>
      <c r="E38" s="27" t="str">
        <f>HYPERLINK("https://www.boe.es/gazeta/dias/1803/04/15/pdfs/GMD-1803-30.pdf","Abrir fascículo")</f>
        <v>Abrir fascículo</v>
      </c>
    </row>
    <row r="39" spans="1:5">
      <c r="A39" s="21">
        <v>31</v>
      </c>
      <c r="B39" s="18" t="s">
        <v>102</v>
      </c>
      <c r="C39" s="24" t="s">
        <v>11350</v>
      </c>
      <c r="D39" s="24">
        <v>33</v>
      </c>
      <c r="E39" s="27" t="str">
        <f>HYPERLINK("https://www.boe.es/gazeta/dias/1803/04/19/pdfs/GMD-1803-31.pdf","Abrir fascículo")</f>
        <v>Abrir fascículo</v>
      </c>
    </row>
    <row r="40" spans="1:5">
      <c r="A40" s="21">
        <v>32</v>
      </c>
      <c r="B40" s="18" t="s">
        <v>203</v>
      </c>
      <c r="C40" s="24" t="s">
        <v>11351</v>
      </c>
      <c r="D40" s="24">
        <v>80</v>
      </c>
      <c r="E40" s="27" t="str">
        <f>HYPERLINK("https://www.boe.es/gazeta/dias/1803/04/22/pdfs/GMD-1803-32.pdf","Abrir fascículo")</f>
        <v>Abrir fascículo</v>
      </c>
    </row>
    <row r="41" spans="1:5">
      <c r="A41" s="21">
        <v>33</v>
      </c>
      <c r="B41" s="18" t="s">
        <v>47</v>
      </c>
      <c r="C41" s="24" t="s">
        <v>11352</v>
      </c>
      <c r="D41" s="24">
        <v>21</v>
      </c>
      <c r="E41" s="27" t="str">
        <f>HYPERLINK("https://www.boe.es/gazeta/dias/1803/04/26/pdfs/GMD-1803-33.pdf","Abrir fascículo")</f>
        <v>Abrir fascículo</v>
      </c>
    </row>
    <row r="42" spans="1:5">
      <c r="A42" s="21">
        <v>34</v>
      </c>
      <c r="B42" s="18" t="s">
        <v>191</v>
      </c>
      <c r="C42" s="24" t="s">
        <v>11353</v>
      </c>
      <c r="D42" s="24">
        <v>51</v>
      </c>
      <c r="E42" s="27" t="str">
        <f>HYPERLINK("https://www.boe.es/gazeta/dias/1803/04/29/pdfs/GMD-1803-34.pdf","Abrir fascículo")</f>
        <v>Abrir fascículo</v>
      </c>
    </row>
    <row r="43" spans="1:5">
      <c r="A43" s="21" t="s">
        <v>11354</v>
      </c>
      <c r="B43" s="18" t="s">
        <v>191</v>
      </c>
      <c r="C43" s="24" t="s">
        <v>11355</v>
      </c>
      <c r="D43" s="24">
        <v>40</v>
      </c>
      <c r="E43" s="27" t="str">
        <f>HYPERLINK("https://www.boe.es/gazeta/dias/1803/04/29/pdfs/GMD-C-1803-34.pdf","Abrir suplemento")</f>
        <v>Abrir suplemento</v>
      </c>
    </row>
    <row r="44" spans="1:5">
      <c r="A44" s="21">
        <v>35</v>
      </c>
      <c r="B44" s="18" t="s">
        <v>967</v>
      </c>
      <c r="C44" s="24" t="s">
        <v>11356</v>
      </c>
      <c r="D44" s="24">
        <v>38</v>
      </c>
      <c r="E44" s="27" t="str">
        <f>HYPERLINK("https://www.boe.es/gazeta/dias/1803/05/03/pdfs/GMD-1803-35.pdf","Abrir fascículo")</f>
        <v>Abrir fascículo</v>
      </c>
    </row>
    <row r="45" spans="1:5">
      <c r="A45" s="21">
        <v>36</v>
      </c>
      <c r="B45" s="18" t="s">
        <v>178</v>
      </c>
      <c r="C45" s="24" t="s">
        <v>11357</v>
      </c>
      <c r="D45" s="24">
        <v>31</v>
      </c>
      <c r="E45" s="27" t="str">
        <f>HYPERLINK("https://www.boe.es/gazeta/dias/1803/05/06/pdfs/GMD-1803-36.pdf","Abrir fascículo")</f>
        <v>Abrir fascículo</v>
      </c>
    </row>
    <row r="46" spans="1:5">
      <c r="A46" s="21">
        <v>37</v>
      </c>
      <c r="B46" s="18" t="s">
        <v>309</v>
      </c>
      <c r="C46" s="24" t="s">
        <v>11358</v>
      </c>
      <c r="D46" s="24">
        <v>27</v>
      </c>
      <c r="E46" s="27" t="str">
        <f>HYPERLINK("https://www.boe.es/gazeta/dias/1803/05/10/pdfs/GMD-1803-37.pdf","Abrir fascículo")</f>
        <v>Abrir fascículo</v>
      </c>
    </row>
    <row r="47" spans="1:5">
      <c r="A47" s="21" t="s">
        <v>11359</v>
      </c>
      <c r="B47" s="18" t="s">
        <v>309</v>
      </c>
      <c r="C47" s="24" t="s">
        <v>11360</v>
      </c>
      <c r="D47" s="24">
        <v>0</v>
      </c>
      <c r="E47" s="27" t="str">
        <f>HYPERLINK("https://www.boe.es/gazeta/dias/1803/05/10/pdfs/GMD-C-1803-37.pdf","Abrir suplemento")</f>
        <v>Abrir suplemento</v>
      </c>
    </row>
    <row r="48" spans="1:5">
      <c r="A48" s="21">
        <v>38</v>
      </c>
      <c r="B48" s="18" t="s">
        <v>289</v>
      </c>
      <c r="C48" s="24" t="s">
        <v>11361</v>
      </c>
      <c r="D48" s="24">
        <v>63</v>
      </c>
      <c r="E48" s="27" t="str">
        <f>HYPERLINK("https://www.boe.es/gazeta/dias/1803/05/13/pdfs/GMD-1803-38.pdf","Abrir fascículo")</f>
        <v>Abrir fascículo</v>
      </c>
    </row>
    <row r="49" spans="1:5">
      <c r="A49" s="21">
        <v>39</v>
      </c>
      <c r="B49" s="18" t="s">
        <v>71</v>
      </c>
      <c r="C49" s="24" t="s">
        <v>11362</v>
      </c>
      <c r="D49" s="24">
        <v>104</v>
      </c>
      <c r="E49" s="27" t="str">
        <f>HYPERLINK("https://www.boe.es/gazeta/dias/1803/05/17/pdfs/GMD-1803-39.pdf","Abrir fascículo")</f>
        <v>Abrir fascículo</v>
      </c>
    </row>
    <row r="50" spans="1:5">
      <c r="A50" s="21">
        <v>40</v>
      </c>
      <c r="B50" s="18" t="s">
        <v>1051</v>
      </c>
      <c r="C50" s="24" t="s">
        <v>11363</v>
      </c>
      <c r="D50" s="24">
        <v>7</v>
      </c>
      <c r="E50" s="27" t="str">
        <f>HYPERLINK("https://www.boe.es/gazeta/dias/1803/05/20/pdfs/GMD-1803-40.pdf","Abrir fascículo")</f>
        <v>Abrir fascículo</v>
      </c>
    </row>
    <row r="51" spans="1:5">
      <c r="A51" s="21">
        <v>41</v>
      </c>
      <c r="B51" s="18" t="s">
        <v>389</v>
      </c>
      <c r="C51" s="24" t="s">
        <v>11364</v>
      </c>
      <c r="D51" s="24">
        <v>24</v>
      </c>
      <c r="E51" s="27" t="str">
        <f>HYPERLINK("https://www.boe.es/gazeta/dias/1803/05/24/pdfs/GMD-1803-41.pdf","Abrir fascículo")</f>
        <v>Abrir fascículo</v>
      </c>
    </row>
    <row r="52" spans="1:5">
      <c r="A52" s="21">
        <v>42</v>
      </c>
      <c r="B52" s="18" t="s">
        <v>514</v>
      </c>
      <c r="C52" s="24" t="s">
        <v>11365</v>
      </c>
      <c r="D52" s="24">
        <v>59</v>
      </c>
      <c r="E52" s="27" t="str">
        <f>HYPERLINK("https://www.boe.es/gazeta/dias/1803/05/27/pdfs/GMD-1803-42.pdf","Abrir fascículo")</f>
        <v>Abrir fascículo</v>
      </c>
    </row>
    <row r="53" spans="1:5">
      <c r="A53" s="21">
        <v>43</v>
      </c>
      <c r="B53" s="18" t="s">
        <v>93</v>
      </c>
      <c r="C53" s="24" t="s">
        <v>11366</v>
      </c>
      <c r="D53" s="24">
        <v>50</v>
      </c>
      <c r="E53" s="27" t="str">
        <f>HYPERLINK("https://www.boe.es/gazeta/dias/1803/05/31/pdfs/GMD-1803-43.pdf","Abrir fascículo")</f>
        <v>Abrir fascículo</v>
      </c>
    </row>
    <row r="54" spans="1:5">
      <c r="A54" s="21">
        <v>44</v>
      </c>
      <c r="B54" s="18" t="s">
        <v>1915</v>
      </c>
      <c r="C54" s="24" t="s">
        <v>11367</v>
      </c>
      <c r="D54" s="24">
        <v>29</v>
      </c>
      <c r="E54" s="27" t="str">
        <f>HYPERLINK("https://www.boe.es/gazeta/dias/1803/06/03/pdfs/GMD-1803-44.pdf","Abrir fascículo")</f>
        <v>Abrir fascículo</v>
      </c>
    </row>
    <row r="55" spans="1:5">
      <c r="A55" s="21" t="s">
        <v>11368</v>
      </c>
      <c r="B55" s="18" t="s">
        <v>1915</v>
      </c>
      <c r="C55" s="24" t="s">
        <v>11369</v>
      </c>
      <c r="D55" s="24">
        <v>0</v>
      </c>
      <c r="E55" s="27" t="str">
        <f>HYPERLINK("https://www.boe.es/gazeta/dias/1803/06/03/pdfs/GMD-C-1803-44.pdf","Abrir suplemento")</f>
        <v>Abrir suplemento</v>
      </c>
    </row>
    <row r="56" spans="1:5">
      <c r="A56" s="21">
        <v>45</v>
      </c>
      <c r="B56" s="18" t="s">
        <v>293</v>
      </c>
      <c r="C56" s="24" t="s">
        <v>11370</v>
      </c>
      <c r="D56" s="24">
        <v>42</v>
      </c>
      <c r="E56" s="27" t="str">
        <f>HYPERLINK("https://www.boe.es/gazeta/dias/1803/06/07/pdfs/GMD-1803-45.pdf","Abrir fascículo")</f>
        <v>Abrir fascículo</v>
      </c>
    </row>
    <row r="57" spans="1:5">
      <c r="A57" s="21">
        <v>46</v>
      </c>
      <c r="B57" s="18" t="s">
        <v>278</v>
      </c>
      <c r="C57" s="24" t="s">
        <v>11371</v>
      </c>
      <c r="D57" s="24">
        <v>53</v>
      </c>
      <c r="E57" s="27" t="str">
        <f>HYPERLINK("https://www.boe.es/gazeta/dias/1803/06/10/pdfs/GMD-1803-46.pdf","Abrir fascículo")</f>
        <v>Abrir fascículo</v>
      </c>
    </row>
    <row r="58" spans="1:5">
      <c r="A58" s="21">
        <v>47</v>
      </c>
      <c r="B58" s="18" t="s">
        <v>606</v>
      </c>
      <c r="C58" s="24" t="s">
        <v>11372</v>
      </c>
      <c r="D58" s="24">
        <v>35</v>
      </c>
      <c r="E58" s="27" t="str">
        <f>HYPERLINK("https://www.boe.es/gazeta/dias/1803/06/14/pdfs/GMD-1803-47.pdf","Abrir fascículo")</f>
        <v>Abrir fascículo</v>
      </c>
    </row>
    <row r="59" spans="1:5">
      <c r="A59" s="21">
        <v>48</v>
      </c>
      <c r="B59" s="18" t="s">
        <v>477</v>
      </c>
      <c r="C59" s="24" t="s">
        <v>11373</v>
      </c>
      <c r="D59" s="24">
        <v>36</v>
      </c>
      <c r="E59" s="27" t="str">
        <f>HYPERLINK("https://www.boe.es/gazeta/dias/1803/06/17/pdfs/GMD-1803-48.pdf","Abrir fascículo")</f>
        <v>Abrir fascículo</v>
      </c>
    </row>
    <row r="60" spans="1:5">
      <c r="A60" s="21">
        <v>49</v>
      </c>
      <c r="B60" s="18" t="s">
        <v>85</v>
      </c>
      <c r="C60" s="24" t="s">
        <v>11374</v>
      </c>
      <c r="D60" s="24">
        <v>41</v>
      </c>
      <c r="E60" s="27" t="str">
        <f>HYPERLINK("https://www.boe.es/gazeta/dias/1803/06/21/pdfs/GMD-1803-49.pdf","Abrir fascículo")</f>
        <v>Abrir fascículo</v>
      </c>
    </row>
    <row r="61" spans="1:5">
      <c r="A61" s="21" t="s">
        <v>11375</v>
      </c>
      <c r="B61" s="18" t="s">
        <v>85</v>
      </c>
      <c r="C61" s="24" t="s">
        <v>11376</v>
      </c>
      <c r="D61" s="24">
        <v>0</v>
      </c>
      <c r="E61" s="27" t="str">
        <f>HYPERLINK("https://www.boe.es/gazeta/dias/1803/06/21/pdfs/GMD-C-1803-49.pdf","Abrir suplemento")</f>
        <v>Abrir suplemento</v>
      </c>
    </row>
    <row r="62" spans="1:5">
      <c r="A62" s="21">
        <v>50</v>
      </c>
      <c r="B62" s="18" t="s">
        <v>519</v>
      </c>
      <c r="C62" s="24" t="s">
        <v>11377</v>
      </c>
      <c r="D62" s="24">
        <v>38</v>
      </c>
      <c r="E62" s="27" t="str">
        <f>HYPERLINK("https://www.boe.es/gazeta/dias/1803/06/24/pdfs/GMD-1803-50.pdf","Abrir fascículo")</f>
        <v>Abrir fascículo</v>
      </c>
    </row>
    <row r="63" spans="1:5">
      <c r="A63" s="21">
        <v>51</v>
      </c>
      <c r="B63" s="18" t="s">
        <v>57</v>
      </c>
      <c r="C63" s="24" t="s">
        <v>11378</v>
      </c>
      <c r="D63" s="24">
        <v>40</v>
      </c>
      <c r="E63" s="27" t="str">
        <f>HYPERLINK("https://www.boe.es/gazeta/dias/1803/06/28/pdfs/GMD-1803-51.pdf","Abrir fascículo")</f>
        <v>Abrir fascículo</v>
      </c>
    </row>
    <row r="64" spans="1:5">
      <c r="A64" s="21">
        <v>52</v>
      </c>
      <c r="B64" s="18" t="s">
        <v>4176</v>
      </c>
      <c r="C64" s="24" t="s">
        <v>11379</v>
      </c>
      <c r="D64" s="24">
        <v>3</v>
      </c>
      <c r="E64" s="27" t="str">
        <f>HYPERLINK("https://www.boe.es/gazeta/dias/1803/07/01/pdfs/GMD-1803-52.pdf","Abrir fascículo")</f>
        <v>Abrir fascículo</v>
      </c>
    </row>
    <row r="65" spans="1:5">
      <c r="A65" s="21">
        <v>53</v>
      </c>
      <c r="B65" s="18" t="s">
        <v>619</v>
      </c>
      <c r="C65" s="24" t="s">
        <v>11380</v>
      </c>
      <c r="D65" s="24">
        <v>47</v>
      </c>
      <c r="E65" s="27" t="str">
        <f>HYPERLINK("https://www.boe.es/gazeta/dias/1803/07/05/pdfs/GMD-1803-53.pdf","Abrir fascículo")</f>
        <v>Abrir fascículo</v>
      </c>
    </row>
    <row r="66" spans="1:5">
      <c r="A66" s="21">
        <v>54</v>
      </c>
      <c r="B66" s="18" t="s">
        <v>328</v>
      </c>
      <c r="C66" s="24" t="s">
        <v>11381</v>
      </c>
      <c r="D66" s="24">
        <v>62</v>
      </c>
      <c r="E66" s="27" t="str">
        <f>HYPERLINK("https://www.boe.es/gazeta/dias/1803/07/08/pdfs/GMD-1803-54.pdf","Abrir fascículo")</f>
        <v>Abrir fascículo</v>
      </c>
    </row>
    <row r="67" spans="1:5">
      <c r="A67" s="21">
        <v>55</v>
      </c>
      <c r="B67" s="18" t="s">
        <v>340</v>
      </c>
      <c r="C67" s="24" t="s">
        <v>11382</v>
      </c>
      <c r="D67" s="24">
        <v>48</v>
      </c>
      <c r="E67" s="27" t="str">
        <f>HYPERLINK("https://www.boe.es/gazeta/dias/1803/07/12/pdfs/GMD-1803-55.pdf","Abrir fascículo")</f>
        <v>Abrir fascículo</v>
      </c>
    </row>
    <row r="68" spans="1:5">
      <c r="A68" s="21">
        <v>56</v>
      </c>
      <c r="B68" s="18" t="s">
        <v>75</v>
      </c>
      <c r="C68" s="24" t="s">
        <v>11383</v>
      </c>
      <c r="D68" s="24">
        <v>50</v>
      </c>
      <c r="E68" s="27" t="str">
        <f>HYPERLINK("https://www.boe.es/gazeta/dias/1803/07/15/pdfs/GMD-1803-56.pdf","Abrir fascículo")</f>
        <v>Abrir fascículo</v>
      </c>
    </row>
    <row r="69" spans="1:5">
      <c r="A69" s="21">
        <v>57</v>
      </c>
      <c r="B69" s="18" t="s">
        <v>609</v>
      </c>
      <c r="C69" s="24" t="s">
        <v>11384</v>
      </c>
      <c r="D69" s="24">
        <v>29</v>
      </c>
      <c r="E69" s="27" t="str">
        <f>HYPERLINK("https://www.boe.es/gazeta/dias/1803/07/19/pdfs/GMD-1803-57.pdf","Abrir fascículo")</f>
        <v>Abrir fascículo</v>
      </c>
    </row>
    <row r="70" spans="1:5">
      <c r="A70" s="21" t="s">
        <v>11385</v>
      </c>
      <c r="B70" s="18" t="s">
        <v>609</v>
      </c>
      <c r="C70" s="24" t="s">
        <v>11386</v>
      </c>
      <c r="D70" s="24">
        <v>26</v>
      </c>
      <c r="E70" s="27" t="str">
        <f>HYPERLINK("https://www.boe.es/gazeta/dias/1803/07/19/pdfs/GMD-C-1803-57.pdf","Abrir suplemento")</f>
        <v>Abrir suplemento</v>
      </c>
    </row>
    <row r="71" spans="1:5">
      <c r="A71" s="21">
        <v>58</v>
      </c>
      <c r="B71" s="18" t="s">
        <v>132</v>
      </c>
      <c r="C71" s="24" t="s">
        <v>11387</v>
      </c>
      <c r="D71" s="24">
        <v>68</v>
      </c>
      <c r="E71" s="27" t="str">
        <f>HYPERLINK("https://www.boe.es/gazeta/dias/1803/07/22/pdfs/GMD-1803-58.pdf","Abrir fascículo")</f>
        <v>Abrir fascículo</v>
      </c>
    </row>
    <row r="72" spans="1:5">
      <c r="A72" s="21">
        <v>59</v>
      </c>
      <c r="B72" s="18" t="s">
        <v>117</v>
      </c>
      <c r="C72" s="24" t="s">
        <v>11388</v>
      </c>
      <c r="D72" s="24">
        <v>27</v>
      </c>
      <c r="E72" s="27" t="str">
        <f>HYPERLINK("https://www.boe.es/gazeta/dias/1803/07/26/pdfs/GMD-1803-59.pdf","Abrir fascículo")</f>
        <v>Abrir fascículo</v>
      </c>
    </row>
    <row r="73" spans="1:5">
      <c r="A73" s="21">
        <v>60</v>
      </c>
      <c r="B73" s="18" t="s">
        <v>882</v>
      </c>
      <c r="C73" s="24" t="s">
        <v>11389</v>
      </c>
      <c r="D73" s="24">
        <v>50</v>
      </c>
      <c r="E73" s="27" t="str">
        <f>HYPERLINK("https://www.boe.es/gazeta/dias/1803/07/29/pdfs/GMD-1803-60.pdf","Abrir fascículo")</f>
        <v>Abrir fascículo</v>
      </c>
    </row>
    <row r="74" spans="1:5">
      <c r="A74" s="21">
        <v>61</v>
      </c>
      <c r="B74" s="18" t="s">
        <v>391</v>
      </c>
      <c r="C74" s="24" t="s">
        <v>11390</v>
      </c>
      <c r="D74" s="24">
        <v>28</v>
      </c>
      <c r="E74" s="27" t="str">
        <f>HYPERLINK("https://www.boe.es/gazeta/dias/1803/08/02/pdfs/GMD-1803-61.pdf","Abrir fascículo")</f>
        <v>Abrir fascículo</v>
      </c>
    </row>
    <row r="75" spans="1:5">
      <c r="A75" s="21">
        <v>62</v>
      </c>
      <c r="B75" s="18" t="s">
        <v>361</v>
      </c>
      <c r="C75" s="24" t="s">
        <v>11391</v>
      </c>
      <c r="D75" s="24">
        <v>63</v>
      </c>
      <c r="E75" s="27" t="str">
        <f>HYPERLINK("https://www.boe.es/gazeta/dias/1803/08/05/pdfs/GMD-1803-62.pdf","Abrir fascículo")</f>
        <v>Abrir fascículo</v>
      </c>
    </row>
    <row r="76" spans="1:5">
      <c r="A76" s="21">
        <v>63</v>
      </c>
      <c r="B76" s="18" t="s">
        <v>588</v>
      </c>
      <c r="C76" s="24" t="s">
        <v>11392</v>
      </c>
      <c r="D76" s="24">
        <v>22</v>
      </c>
      <c r="E76" s="27" t="str">
        <f>HYPERLINK("https://www.boe.es/gazeta/dias/1803/08/09/pdfs/GMD-1803-63.pdf","Abrir fascículo")</f>
        <v>Abrir fascículo</v>
      </c>
    </row>
    <row r="77" spans="1:5">
      <c r="A77" s="21" t="s">
        <v>11393</v>
      </c>
      <c r="B77" s="18" t="s">
        <v>588</v>
      </c>
      <c r="C77" s="24" t="s">
        <v>11394</v>
      </c>
      <c r="D77" s="24">
        <v>0</v>
      </c>
      <c r="E77" s="27" t="str">
        <f>HYPERLINK("https://www.boe.es/gazeta/dias/1803/08/09/pdfs/GMD-C-1803-63.pdf","Abrir suplemento")</f>
        <v>Abrir suplemento</v>
      </c>
    </row>
    <row r="78" spans="1:5">
      <c r="A78" s="21">
        <v>64</v>
      </c>
      <c r="B78" s="18" t="s">
        <v>77</v>
      </c>
      <c r="C78" s="24" t="s">
        <v>11395</v>
      </c>
      <c r="D78" s="24">
        <v>32</v>
      </c>
      <c r="E78" s="27" t="str">
        <f>HYPERLINK("https://www.boe.es/gazeta/dias/1803/08/12/pdfs/GMD-1803-64.pdf","Abrir fascículo")</f>
        <v>Abrir fascículo</v>
      </c>
    </row>
    <row r="79" spans="1:5">
      <c r="A79" s="21">
        <v>65</v>
      </c>
      <c r="B79" s="18" t="s">
        <v>64</v>
      </c>
      <c r="C79" s="24" t="s">
        <v>11396</v>
      </c>
      <c r="D79" s="24">
        <v>30</v>
      </c>
      <c r="E79" s="27" t="str">
        <f>HYPERLINK("https://www.boe.es/gazeta/dias/1803/08/16/pdfs/GMD-1803-65.pdf","Abrir fascículo")</f>
        <v>Abrir fascículo</v>
      </c>
    </row>
    <row r="80" spans="1:5">
      <c r="A80" s="21">
        <v>66</v>
      </c>
      <c r="B80" s="18" t="s">
        <v>910</v>
      </c>
      <c r="C80" s="24" t="s">
        <v>11397</v>
      </c>
      <c r="D80" s="24">
        <v>37</v>
      </c>
      <c r="E80" s="27" t="str">
        <f>HYPERLINK("https://www.boe.es/gazeta/dias/1803/08/19/pdfs/GMD-1803-66.pdf","Abrir fascículo")</f>
        <v>Abrir fascículo</v>
      </c>
    </row>
    <row r="81" spans="1:5">
      <c r="A81" s="21">
        <v>67</v>
      </c>
      <c r="B81" s="18" t="s">
        <v>61</v>
      </c>
      <c r="C81" s="24" t="s">
        <v>11398</v>
      </c>
      <c r="D81" s="24">
        <v>44</v>
      </c>
      <c r="E81" s="27" t="str">
        <f>HYPERLINK("https://www.boe.es/gazeta/dias/1803/08/23/pdfs/GMD-1803-67.pdf","Abrir fascículo")</f>
        <v>Abrir fascículo</v>
      </c>
    </row>
    <row r="82" spans="1:5">
      <c r="A82" s="21">
        <v>68</v>
      </c>
      <c r="B82" s="18" t="s">
        <v>138</v>
      </c>
      <c r="C82" s="24" t="s">
        <v>11399</v>
      </c>
      <c r="D82" s="24">
        <v>62</v>
      </c>
      <c r="E82" s="27" t="str">
        <f>HYPERLINK("https://www.boe.es/gazeta/dias/1803/08/26/pdfs/GMD-1803-68.pdf","Abrir fascículo")</f>
        <v>Abrir fascículo</v>
      </c>
    </row>
    <row r="83" spans="1:5">
      <c r="A83" s="21">
        <v>69</v>
      </c>
      <c r="B83" s="18" t="s">
        <v>919</v>
      </c>
      <c r="C83" s="24" t="s">
        <v>11400</v>
      </c>
      <c r="D83" s="24">
        <v>37</v>
      </c>
      <c r="E83" s="27" t="str">
        <f>HYPERLINK("https://www.boe.es/gazeta/dias/1803/08/30/pdfs/GMD-1803-69.pdf","Abrir fascículo")</f>
        <v>Abrir fascículo</v>
      </c>
    </row>
    <row r="84" spans="1:5">
      <c r="A84" s="21" t="s">
        <v>11401</v>
      </c>
      <c r="B84" s="18" t="s">
        <v>919</v>
      </c>
      <c r="C84" s="24" t="s">
        <v>11402</v>
      </c>
      <c r="D84" s="24">
        <v>0</v>
      </c>
      <c r="E84" s="27" t="str">
        <f>HYPERLINK("https://www.boe.es/gazeta/dias/1803/08/30/pdfs/GMD-C-1803-69.pdf","Abrir suplemento")</f>
        <v>Abrir suplemento</v>
      </c>
    </row>
    <row r="85" spans="1:5">
      <c r="A85" s="21">
        <v>70</v>
      </c>
      <c r="B85" s="18" t="s">
        <v>261</v>
      </c>
      <c r="C85" s="24" t="s">
        <v>11403</v>
      </c>
      <c r="D85" s="24">
        <v>30</v>
      </c>
      <c r="E85" s="27" t="str">
        <f>HYPERLINK("https://www.boe.es/gazeta/dias/1803/09/02/pdfs/GMD-1803-70.pdf","Abrir fascículo")</f>
        <v>Abrir fascículo</v>
      </c>
    </row>
    <row r="86" spans="1:5">
      <c r="A86" s="21">
        <v>71</v>
      </c>
      <c r="B86" s="18" t="s">
        <v>211</v>
      </c>
      <c r="C86" s="24" t="s">
        <v>11404</v>
      </c>
      <c r="D86" s="24">
        <v>40</v>
      </c>
      <c r="E86" s="27" t="str">
        <f>HYPERLINK("https://www.boe.es/gazeta/dias/1803/09/06/pdfs/GMD-1803-71.pdf","Abrir fascículo")</f>
        <v>Abrir fascículo</v>
      </c>
    </row>
    <row r="87" spans="1:5">
      <c r="A87" s="21">
        <v>72</v>
      </c>
      <c r="B87" s="18" t="s">
        <v>417</v>
      </c>
      <c r="C87" s="24" t="s">
        <v>11405</v>
      </c>
      <c r="D87" s="24">
        <v>34</v>
      </c>
      <c r="E87" s="27" t="str">
        <f>HYPERLINK("https://www.boe.es/gazeta/dias/1803/09/09/pdfs/GMD-1803-72.pdf","Abrir fascículo")</f>
        <v>Abrir fascículo</v>
      </c>
    </row>
    <row r="88" spans="1:5">
      <c r="A88" s="21" t="s">
        <v>443</v>
      </c>
      <c r="B88" s="18" t="s">
        <v>442</v>
      </c>
      <c r="C88" s="24" t="s">
        <v>11406</v>
      </c>
      <c r="D88" s="24">
        <v>9</v>
      </c>
      <c r="E88" s="27" t="str">
        <f>HYPERLINK("https://www.boe.es/gazeta/dias/1803/09/12/pdfs/GMD-1803-73E.pdf","Abrir extraordinaria")</f>
        <v>Abrir extraordinaria</v>
      </c>
    </row>
    <row r="89" spans="1:5">
      <c r="A89" s="21">
        <v>74</v>
      </c>
      <c r="B89" s="18" t="s">
        <v>32</v>
      </c>
      <c r="C89" s="24" t="s">
        <v>11407</v>
      </c>
      <c r="D89" s="24">
        <v>44</v>
      </c>
      <c r="E89" s="27" t="str">
        <f>HYPERLINK("https://www.boe.es/gazeta/dias/1803/09/13/pdfs/GMD-1803-74.pdf","Abrir fascículo")</f>
        <v>Abrir fascículo</v>
      </c>
    </row>
    <row r="90" spans="1:5">
      <c r="A90" s="21">
        <v>75</v>
      </c>
      <c r="B90" s="18" t="s">
        <v>263</v>
      </c>
      <c r="C90" s="24" t="s">
        <v>11408</v>
      </c>
      <c r="D90" s="24">
        <v>31</v>
      </c>
      <c r="E90" s="27" t="str">
        <f>HYPERLINK("https://www.boe.es/gazeta/dias/1803/09/16/pdfs/GMD-1803-75.pdf","Abrir fascículo")</f>
        <v>Abrir fascículo</v>
      </c>
    </row>
    <row r="91" spans="1:5">
      <c r="A91" s="21">
        <v>76</v>
      </c>
      <c r="B91" s="18" t="s">
        <v>439</v>
      </c>
      <c r="C91" s="24" t="s">
        <v>11409</v>
      </c>
      <c r="D91" s="24">
        <v>42</v>
      </c>
      <c r="E91" s="27" t="str">
        <f>HYPERLINK("https://www.boe.es/gazeta/dias/1803/09/20/pdfs/GMD-1803-76.pdf","Abrir fascículo")</f>
        <v>Abrir fascículo</v>
      </c>
    </row>
    <row r="92" spans="1:5">
      <c r="A92" s="21">
        <v>77</v>
      </c>
      <c r="B92" s="18" t="s">
        <v>373</v>
      </c>
      <c r="C92" s="24" t="s">
        <v>11410</v>
      </c>
      <c r="D92" s="24">
        <v>90</v>
      </c>
      <c r="E92" s="27" t="str">
        <f>HYPERLINK("https://www.boe.es/gazeta/dias/1803/09/23/pdfs/GMD-1803-77.pdf","Abrir fascículo")</f>
        <v>Abrir fascículo</v>
      </c>
    </row>
    <row r="93" spans="1:5">
      <c r="A93" s="21">
        <v>78</v>
      </c>
      <c r="B93" s="18" t="s">
        <v>726</v>
      </c>
      <c r="C93" s="24" t="s">
        <v>11411</v>
      </c>
      <c r="D93" s="24">
        <v>31</v>
      </c>
      <c r="E93" s="27" t="str">
        <f>HYPERLINK("https://www.boe.es/gazeta/dias/1803/09/27/pdfs/GMD-1803-78.pdf","Abrir fascículo")</f>
        <v>Abrir fascículo</v>
      </c>
    </row>
    <row r="94" spans="1:5">
      <c r="A94" s="21">
        <v>79</v>
      </c>
      <c r="B94" s="18" t="s">
        <v>36</v>
      </c>
      <c r="C94" s="24" t="s">
        <v>11412</v>
      </c>
      <c r="D94" s="24">
        <v>45</v>
      </c>
      <c r="E94" s="27" t="str">
        <f>HYPERLINK("https://www.boe.es/gazeta/dias/1803/09/30/pdfs/GMD-1803-79.pdf","Abrir fascículo")</f>
        <v>Abrir fascículo</v>
      </c>
    </row>
    <row r="95" spans="1:5">
      <c r="A95" s="21">
        <v>80</v>
      </c>
      <c r="B95" s="18" t="s">
        <v>128</v>
      </c>
      <c r="C95" s="24" t="s">
        <v>11413</v>
      </c>
      <c r="D95" s="24">
        <v>21</v>
      </c>
      <c r="E95" s="27" t="str">
        <f>HYPERLINK("https://www.boe.es/gazeta/dias/1803/10/04/pdfs/GMD-1803-80.pdf","Abrir fascículo")</f>
        <v>Abrir fascículo</v>
      </c>
    </row>
    <row r="96" spans="1:5">
      <c r="A96" s="21">
        <v>81</v>
      </c>
      <c r="B96" s="18" t="s">
        <v>160</v>
      </c>
      <c r="C96" s="24" t="s">
        <v>11414</v>
      </c>
      <c r="D96" s="24">
        <v>45</v>
      </c>
      <c r="E96" s="27" t="str">
        <f>HYPERLINK("https://www.boe.es/gazeta/dias/1803/10/07/pdfs/GMD-1803-81.pdf","Abrir fascículo")</f>
        <v>Abrir fascículo</v>
      </c>
    </row>
    <row r="97" spans="1:5">
      <c r="A97" s="21">
        <v>82</v>
      </c>
      <c r="B97" s="18" t="s">
        <v>407</v>
      </c>
      <c r="C97" s="24" t="s">
        <v>11415</v>
      </c>
      <c r="D97" s="24">
        <v>43</v>
      </c>
      <c r="E97" s="27" t="str">
        <f>HYPERLINK("https://www.boe.es/gazeta/dias/1803/10/11/pdfs/GMD-1803-82.pdf","Abrir fascículo")</f>
        <v>Abrir fascículo</v>
      </c>
    </row>
    <row r="98" spans="1:5">
      <c r="A98" s="21">
        <v>83</v>
      </c>
      <c r="B98" s="18" t="s">
        <v>555</v>
      </c>
      <c r="C98" s="24" t="s">
        <v>11416</v>
      </c>
      <c r="D98" s="24">
        <v>44</v>
      </c>
      <c r="E98" s="27" t="str">
        <f>HYPERLINK("https://www.boe.es/gazeta/dias/1803/10/14/pdfs/GMD-1803-83.pdf","Abrir fascículo")</f>
        <v>Abrir fascículo</v>
      </c>
    </row>
    <row r="99" spans="1:5">
      <c r="A99" s="21">
        <v>84</v>
      </c>
      <c r="B99" s="18" t="s">
        <v>164</v>
      </c>
      <c r="C99" s="24" t="s">
        <v>11417</v>
      </c>
      <c r="D99" s="24">
        <v>35</v>
      </c>
      <c r="E99" s="27" t="str">
        <f>HYPERLINK("https://www.boe.es/gazeta/dias/1803/10/18/pdfs/GMD-1803-84.pdf","Abrir fascículo")</f>
        <v>Abrir fascículo</v>
      </c>
    </row>
    <row r="100" spans="1:5">
      <c r="A100" s="21" t="s">
        <v>11418</v>
      </c>
      <c r="B100" s="18" t="s">
        <v>164</v>
      </c>
      <c r="C100" s="24" t="s">
        <v>11419</v>
      </c>
      <c r="D100" s="24">
        <v>0</v>
      </c>
      <c r="E100" s="27" t="str">
        <f>HYPERLINK("https://www.boe.es/gazeta/dias/1803/10/18/pdfs/GMD-C-1803-84.pdf","Abrir suplemento")</f>
        <v>Abrir suplemento</v>
      </c>
    </row>
    <row r="101" spans="1:5">
      <c r="A101" s="21">
        <v>85</v>
      </c>
      <c r="B101" s="18" t="s">
        <v>630</v>
      </c>
      <c r="C101" s="24" t="s">
        <v>11420</v>
      </c>
      <c r="D101" s="24">
        <v>52</v>
      </c>
      <c r="E101" s="27" t="str">
        <f>HYPERLINK("https://www.boe.es/gazeta/dias/1803/10/21/pdfs/GMD-1803-85.pdf","Abrir fascículo")</f>
        <v>Abrir fascículo</v>
      </c>
    </row>
    <row r="102" spans="1:5">
      <c r="A102" s="21">
        <v>86</v>
      </c>
      <c r="B102" s="18" t="s">
        <v>784</v>
      </c>
      <c r="C102" s="24" t="s">
        <v>11421</v>
      </c>
      <c r="D102" s="24">
        <v>42</v>
      </c>
      <c r="E102" s="27" t="str">
        <f>HYPERLINK("https://www.boe.es/gazeta/dias/1803/10/25/pdfs/GMD-1803-86.pdf","Abrir fascículo")</f>
        <v>Abrir fascículo</v>
      </c>
    </row>
    <row r="103" spans="1:5">
      <c r="A103" s="21">
        <v>87</v>
      </c>
      <c r="B103" s="18" t="s">
        <v>480</v>
      </c>
      <c r="C103" s="24" t="s">
        <v>11422</v>
      </c>
      <c r="D103" s="24">
        <v>27</v>
      </c>
      <c r="E103" s="27" t="str">
        <f>HYPERLINK("https://www.boe.es/gazeta/dias/1803/10/28/pdfs/GMD-1803-87.pdf","Abrir fascículo")</f>
        <v>Abrir fascículo</v>
      </c>
    </row>
    <row r="104" spans="1:5">
      <c r="A104" s="21" t="s">
        <v>11423</v>
      </c>
      <c r="B104" s="18" t="s">
        <v>480</v>
      </c>
      <c r="C104" s="24" t="s">
        <v>11424</v>
      </c>
      <c r="D104" s="24">
        <v>20</v>
      </c>
      <c r="E104" s="27" t="str">
        <f>HYPERLINK("https://www.boe.es/gazeta/dias/1803/10/28/pdfs/GMD-C-1803-87.pdf","Abrir suplemento")</f>
        <v>Abrir suplemento</v>
      </c>
    </row>
    <row r="105" spans="1:5">
      <c r="A105" s="21">
        <v>88</v>
      </c>
      <c r="B105" s="18" t="s">
        <v>199</v>
      </c>
      <c r="C105" s="24" t="s">
        <v>11425</v>
      </c>
      <c r="D105" s="24">
        <v>41</v>
      </c>
      <c r="E105" s="27" t="str">
        <f>HYPERLINK("https://www.boe.es/gazeta/dias/1803/11/01/pdfs/GMD-1803-88.pdf","Abrir fascículo")</f>
        <v>Abrir fascículo</v>
      </c>
    </row>
    <row r="106" spans="1:5">
      <c r="A106" s="21" t="s">
        <v>11426</v>
      </c>
      <c r="B106" s="18" t="s">
        <v>199</v>
      </c>
      <c r="C106" s="24" t="s">
        <v>11427</v>
      </c>
      <c r="D106" s="24">
        <v>0</v>
      </c>
      <c r="E106" s="27" t="str">
        <f>HYPERLINK("https://www.boe.es/gazeta/dias/1803/11/01/pdfs/GMD-C-1803-88.pdf","Abrir suplemento")</f>
        <v>Abrir suplemento</v>
      </c>
    </row>
    <row r="107" spans="1:5">
      <c r="A107" s="21">
        <v>89</v>
      </c>
      <c r="B107" s="18" t="s">
        <v>1846</v>
      </c>
      <c r="C107" s="24" t="s">
        <v>11428</v>
      </c>
      <c r="D107" s="24">
        <v>34</v>
      </c>
      <c r="E107" s="27" t="str">
        <f>HYPERLINK("https://www.boe.es/gazeta/dias/1803/11/04/pdfs/GMD-1803-89.pdf","Abrir fascículo")</f>
        <v>Abrir fascículo</v>
      </c>
    </row>
    <row r="108" spans="1:5">
      <c r="A108" s="21">
        <v>90</v>
      </c>
      <c r="B108" s="18" t="s">
        <v>496</v>
      </c>
      <c r="C108" s="24" t="s">
        <v>11429</v>
      </c>
      <c r="D108" s="24">
        <v>43</v>
      </c>
      <c r="E108" s="27" t="str">
        <f>HYPERLINK("https://www.boe.es/gazeta/dias/1803/11/08/pdfs/GMD-1803-90.pdf","Abrir fascículo")</f>
        <v>Abrir fascículo</v>
      </c>
    </row>
    <row r="109" spans="1:5">
      <c r="A109" s="21">
        <v>91</v>
      </c>
      <c r="B109" s="18" t="s">
        <v>403</v>
      </c>
      <c r="C109" s="24" t="s">
        <v>11430</v>
      </c>
      <c r="D109" s="24">
        <v>80</v>
      </c>
      <c r="E109" s="27" t="str">
        <f>HYPERLINK("https://www.boe.es/gazeta/dias/1803/11/11/pdfs/GMD-1803-91.pdf","Abrir fascículo")</f>
        <v>Abrir fascículo</v>
      </c>
    </row>
    <row r="110" spans="1:5">
      <c r="A110" s="21">
        <v>92</v>
      </c>
      <c r="B110" s="18" t="s">
        <v>28</v>
      </c>
      <c r="C110" s="24" t="s">
        <v>11431</v>
      </c>
      <c r="D110" s="24">
        <v>36</v>
      </c>
      <c r="E110" s="27" t="str">
        <f>HYPERLINK("https://www.boe.es/gazeta/dias/1803/11/15/pdfs/GMD-1803-92.pdf","Abrir fascículo")</f>
        <v>Abrir fascículo</v>
      </c>
    </row>
    <row r="111" spans="1:5">
      <c r="A111" s="21">
        <v>93</v>
      </c>
      <c r="B111" s="18" t="s">
        <v>113</v>
      </c>
      <c r="C111" s="24" t="s">
        <v>11432</v>
      </c>
      <c r="D111" s="24">
        <v>72</v>
      </c>
      <c r="E111" s="27" t="str">
        <f>HYPERLINK("https://www.boe.es/gazeta/dias/1803/11/18/pdfs/GMD-1803-93.pdf","Abrir fascículo")</f>
        <v>Abrir fascículo</v>
      </c>
    </row>
    <row r="112" spans="1:5">
      <c r="A112" s="21">
        <v>94</v>
      </c>
      <c r="B112" s="18" t="s">
        <v>321</v>
      </c>
      <c r="C112" s="24" t="s">
        <v>11433</v>
      </c>
      <c r="D112" s="24">
        <v>49</v>
      </c>
      <c r="E112" s="27" t="str">
        <f>HYPERLINK("https://www.boe.es/gazeta/dias/1803/11/22/pdfs/GMD-1803-94.pdf","Abrir fascículo")</f>
        <v>Abrir fascículo</v>
      </c>
    </row>
    <row r="113" spans="1:5">
      <c r="A113" s="21">
        <v>95</v>
      </c>
      <c r="B113" s="18" t="s">
        <v>399</v>
      </c>
      <c r="C113" s="24" t="s">
        <v>11434</v>
      </c>
      <c r="D113" s="24">
        <v>44</v>
      </c>
      <c r="E113" s="27" t="str">
        <f>HYPERLINK("https://www.boe.es/gazeta/dias/1803/11/25/pdfs/GMD-1803-95.pdf","Abrir fascículo")</f>
        <v>Abrir fascículo</v>
      </c>
    </row>
    <row r="114" spans="1:5">
      <c r="A114" s="21" t="s">
        <v>11435</v>
      </c>
      <c r="B114" s="18" t="s">
        <v>399</v>
      </c>
      <c r="C114" s="24" t="s">
        <v>11436</v>
      </c>
      <c r="D114" s="24">
        <v>0</v>
      </c>
      <c r="E114" s="27" t="str">
        <f>HYPERLINK("https://www.boe.es/gazeta/dias/1803/11/25/pdfs/GMD-C-1803-95.pdf","Abrir suplemento")</f>
        <v>Abrir suplemento</v>
      </c>
    </row>
    <row r="115" spans="1:5">
      <c r="A115" s="21">
        <v>96</v>
      </c>
      <c r="B115" s="18" t="s">
        <v>300</v>
      </c>
      <c r="C115" s="24" t="s">
        <v>11437</v>
      </c>
      <c r="D115" s="24">
        <v>43</v>
      </c>
      <c r="E115" s="27" t="str">
        <f>HYPERLINK("https://www.boe.es/gazeta/dias/1803/11/29/pdfs/GMD-1803-96.pdf","Abrir fascículo")</f>
        <v>Abrir fascículo</v>
      </c>
    </row>
    <row r="116" spans="1:5">
      <c r="A116" s="21">
        <v>97</v>
      </c>
      <c r="B116" s="18" t="s">
        <v>20</v>
      </c>
      <c r="C116" s="24" t="s">
        <v>11438</v>
      </c>
      <c r="D116" s="24">
        <v>30</v>
      </c>
      <c r="E116" s="27" t="str">
        <f>HYPERLINK("https://www.boe.es/gazeta/dias/1803/12/02/pdfs/GMD-1803-97.pdf","Abrir fascículo")</f>
        <v>Abrir fascículo</v>
      </c>
    </row>
    <row r="117" spans="1:5">
      <c r="A117" s="21">
        <v>98</v>
      </c>
      <c r="B117" s="18" t="s">
        <v>795</v>
      </c>
      <c r="C117" s="24" t="s">
        <v>11439</v>
      </c>
      <c r="D117" s="24">
        <v>33</v>
      </c>
      <c r="E117" s="27" t="str">
        <f>HYPERLINK("https://www.boe.es/gazeta/dias/1803/12/06/pdfs/GMD-1803-98.pdf","Abrir fascículo")</f>
        <v>Abrir fascículo</v>
      </c>
    </row>
    <row r="118" spans="1:5">
      <c r="A118" s="21">
        <v>99</v>
      </c>
      <c r="B118" s="18" t="s">
        <v>53</v>
      </c>
      <c r="C118" s="24" t="s">
        <v>11440</v>
      </c>
      <c r="D118" s="24">
        <v>40</v>
      </c>
      <c r="E118" s="27" t="str">
        <f>HYPERLINK("https://www.boe.es/gazeta/dias/1803/12/09/pdfs/GMD-1803-99.pdf","Abrir fascículo")</f>
        <v>Abrir fascículo</v>
      </c>
    </row>
    <row r="119" spans="1:5">
      <c r="A119" s="21">
        <v>100</v>
      </c>
      <c r="B119" s="18" t="s">
        <v>369</v>
      </c>
      <c r="C119" s="24" t="s">
        <v>11441</v>
      </c>
      <c r="D119" s="24">
        <v>30</v>
      </c>
      <c r="E119" s="27" t="str">
        <f>HYPERLINK("https://www.boe.es/gazeta/dias/1803/12/13/pdfs/GMD-1803-100.pdf","Abrir fascículo")</f>
        <v>Abrir fascículo</v>
      </c>
    </row>
    <row r="120" spans="1:5">
      <c r="A120" s="21">
        <v>101</v>
      </c>
      <c r="B120" s="18" t="s">
        <v>523</v>
      </c>
      <c r="C120" s="24" t="s">
        <v>11442</v>
      </c>
      <c r="D120" s="24">
        <v>42</v>
      </c>
      <c r="E120" s="27" t="str">
        <f>HYPERLINK("https://www.boe.es/gazeta/dias/1803/12/16/pdfs/GMD-1803-101.pdf","Abrir fascículo")</f>
        <v>Abrir fascículo</v>
      </c>
    </row>
    <row r="121" spans="1:5">
      <c r="A121" s="21">
        <v>102</v>
      </c>
      <c r="B121" s="18" t="s">
        <v>109</v>
      </c>
      <c r="C121" s="24" t="s">
        <v>11443</v>
      </c>
      <c r="D121" s="24">
        <v>79</v>
      </c>
      <c r="E121" s="27" t="str">
        <f>HYPERLINK("https://www.boe.es/gazeta/dias/1803/12/20/pdfs/GMD-1803-102.pdf","Abrir fascículo")</f>
        <v>Abrir fascículo</v>
      </c>
    </row>
    <row r="122" spans="1:5">
      <c r="A122" s="21" t="s">
        <v>11444</v>
      </c>
      <c r="B122" s="18" t="s">
        <v>109</v>
      </c>
      <c r="C122" s="24" t="s">
        <v>11445</v>
      </c>
      <c r="D122" s="24">
        <v>2</v>
      </c>
      <c r="E122" s="27" t="str">
        <f>HYPERLINK("https://www.boe.es/gazeta/dias/1803/12/20/pdfs/GMD-C-1803-102.pdf","Abrir suplemento")</f>
        <v>Abrir suplemento</v>
      </c>
    </row>
    <row r="123" spans="1:5">
      <c r="A123" s="21">
        <v>103</v>
      </c>
      <c r="B123" s="18" t="s">
        <v>571</v>
      </c>
      <c r="C123" s="24" t="s">
        <v>11446</v>
      </c>
      <c r="D123" s="24">
        <v>46</v>
      </c>
      <c r="E123" s="27" t="str">
        <f>HYPERLINK("https://www.boe.es/gazeta/dias/1803/12/23/pdfs/GMD-1803-103.pdf","Abrir fascículo")</f>
        <v>Abrir fascículo</v>
      </c>
    </row>
    <row r="124" spans="1:5">
      <c r="A124" s="21">
        <v>104</v>
      </c>
      <c r="B124" s="18" t="s">
        <v>493</v>
      </c>
      <c r="C124" s="24" t="s">
        <v>11447</v>
      </c>
      <c r="D124" s="24">
        <v>23</v>
      </c>
      <c r="E124" s="27" t="str">
        <f>HYPERLINK("https://www.boe.es/gazeta/dias/1803/12/27/pdfs/GMD-1803-104.pdf","Abrir fascículo")</f>
        <v>Abrir fascículo</v>
      </c>
    </row>
    <row r="125" spans="1:5">
      <c r="A125" s="22">
        <v>105</v>
      </c>
      <c r="B125" s="19" t="s">
        <v>336</v>
      </c>
      <c r="C125" s="25" t="s">
        <v>11448</v>
      </c>
      <c r="D125" s="25">
        <v>33</v>
      </c>
      <c r="E125" s="28" t="str">
        <f>HYPERLINK("https://www.boe.es/gazeta/dias/1803/12/30/pdfs/GMD-1803-105.pdf","Abrir fascículo")</f>
        <v>Abrir fascículo</v>
      </c>
    </row>
    <row r="127" spans="1:5" ht="48" customHeight="1">
      <c r="A127" s="29" t="s">
        <v>11449</v>
      </c>
      <c r="B127" s="34" t="s">
        <v>11450</v>
      </c>
      <c r="C127" s="34"/>
      <c r="D127" s="34"/>
      <c r="E127" s="34"/>
    </row>
    <row r="128" spans="1:5" ht="48" customHeight="1">
      <c r="A128" s="29" t="s">
        <v>11451</v>
      </c>
      <c r="B128" s="34" t="s">
        <v>11452</v>
      </c>
      <c r="C128" s="34"/>
      <c r="D128" s="34"/>
      <c r="E128" s="34"/>
    </row>
    <row r="129" spans="1:5" ht="48" customHeight="1">
      <c r="A129" s="29" t="s">
        <v>11453</v>
      </c>
      <c r="B129" s="34" t="s">
        <v>11454</v>
      </c>
      <c r="C129" s="34"/>
      <c r="D129" s="34"/>
      <c r="E129" s="34"/>
    </row>
    <row r="130" spans="1:5" ht="48" customHeight="1">
      <c r="A130" s="29" t="s">
        <v>11455</v>
      </c>
      <c r="B130" s="34" t="s">
        <v>11456</v>
      </c>
      <c r="C130" s="34"/>
      <c r="D130" s="34"/>
      <c r="E130" s="34"/>
    </row>
    <row r="131" spans="1:5" ht="48" customHeight="1">
      <c r="A131" s="29" t="s">
        <v>11457</v>
      </c>
      <c r="B131" s="34" t="s">
        <v>11458</v>
      </c>
      <c r="C131" s="34"/>
      <c r="D131" s="34"/>
      <c r="E131" s="34"/>
    </row>
    <row r="132" spans="1:5" ht="48" customHeight="1">
      <c r="A132" s="29" t="s">
        <v>11459</v>
      </c>
      <c r="B132" s="34" t="s">
        <v>11460</v>
      </c>
      <c r="C132" s="34"/>
      <c r="D132" s="34"/>
      <c r="E132" s="34"/>
    </row>
    <row r="133" spans="1:5" ht="48" customHeight="1">
      <c r="A133" s="29" t="s">
        <v>11461</v>
      </c>
      <c r="B133" s="34" t="s">
        <v>11462</v>
      </c>
      <c r="C133" s="34"/>
      <c r="D133" s="34"/>
      <c r="E133" s="34"/>
    </row>
    <row r="134" spans="1:5" ht="48" customHeight="1">
      <c r="A134" s="29" t="s">
        <v>11463</v>
      </c>
      <c r="B134" s="34" t="s">
        <v>11464</v>
      </c>
      <c r="C134" s="34"/>
      <c r="D134" s="34"/>
      <c r="E134" s="34"/>
    </row>
    <row r="135" spans="1:5" ht="48" customHeight="1">
      <c r="A135" s="29" t="s">
        <v>11465</v>
      </c>
      <c r="B135" s="34" t="s">
        <v>11466</v>
      </c>
      <c r="C135" s="34"/>
      <c r="D135" s="34"/>
      <c r="E135" s="34"/>
    </row>
    <row r="136" spans="1:5" ht="48" customHeight="1">
      <c r="A136" s="29" t="s">
        <v>11467</v>
      </c>
      <c r="B136" s="34" t="s">
        <v>11468</v>
      </c>
      <c r="C136" s="34"/>
      <c r="D136" s="34"/>
      <c r="E136" s="34"/>
    </row>
    <row r="137" spans="1:5" ht="48" customHeight="1">
      <c r="A137" s="29" t="s">
        <v>11469</v>
      </c>
      <c r="B137" s="34" t="s">
        <v>11470</v>
      </c>
      <c r="C137" s="34"/>
      <c r="D137" s="34"/>
      <c r="E137" s="34"/>
    </row>
  </sheetData>
  <mergeCells count="12">
    <mergeCell ref="B136:E136"/>
    <mergeCell ref="B137:E137"/>
    <mergeCell ref="B131:E131"/>
    <mergeCell ref="B132:E132"/>
    <mergeCell ref="B133:E133"/>
    <mergeCell ref="B134:E134"/>
    <mergeCell ref="B135:E135"/>
    <mergeCell ref="A1:E1"/>
    <mergeCell ref="B127:E127"/>
    <mergeCell ref="B128:E128"/>
    <mergeCell ref="B129:E129"/>
    <mergeCell ref="B130:E13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2026-09-25T05:31:53Z</dcterms:created>
  <dcterms:modified xsi:type="dcterms:W3CDTF">2026-09-25T05:31:54Z</dcterms:modified>
</cp:coreProperties>
</file>